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6525481a866095b/Dokumente/"/>
    </mc:Choice>
  </mc:AlternateContent>
  <xr:revisionPtr revIDLastSave="0" documentId="8_{A434D7DC-2A9C-0D41-BD82-75410DC3E1B9}" xr6:coauthVersionLast="47" xr6:coauthVersionMax="47" xr10:uidLastSave="{00000000-0000-0000-0000-000000000000}"/>
  <bookViews>
    <workbookView xWindow="3260" yWindow="2260" windowWidth="29960" windowHeight="18440" xr2:uid="{DA091068-A896-D541-801E-D17263E0F62D}"/>
  </bookViews>
  <sheets>
    <sheet name="Cover &amp; Summary" sheetId="1" r:id="rId1"/>
    <sheet name="Assumptions" sheetId="2" r:id="rId2"/>
    <sheet name="Capital Allocation" sheetId="3" r:id="rId3"/>
    <sheet name="Gold Protection" sheetId="4" r:id="rId4"/>
    <sheet name="IMEC Options" sheetId="5" r:id="rId5"/>
    <sheet name="Investor Returns" sheetId="6" r:id="rId6"/>
    <sheet name="Sensitivity &amp; Risk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5" l="1"/>
  <c r="D35" i="1"/>
  <c r="I35" i="5"/>
  <c r="B35" i="1"/>
  <c r="B5" i="3"/>
  <c r="B6" i="3"/>
  <c r="B7" i="3"/>
  <c r="B10" i="3"/>
  <c r="B21" i="3"/>
  <c r="B22" i="3"/>
  <c r="B23" i="3"/>
  <c r="B55" i="6"/>
  <c r="B11" i="3"/>
  <c r="B50" i="6"/>
  <c r="B56" i="6"/>
  <c r="B57" i="6"/>
  <c r="B59" i="6"/>
  <c r="B49" i="6"/>
  <c r="C55" i="6"/>
  <c r="C50" i="6"/>
  <c r="C56" i="6"/>
  <c r="C57" i="6"/>
  <c r="C59" i="6"/>
  <c r="C49" i="6"/>
  <c r="D55" i="6"/>
  <c r="D50" i="6"/>
  <c r="D56" i="6"/>
  <c r="D57" i="6"/>
  <c r="D59" i="6"/>
  <c r="D49" i="6"/>
  <c r="E59" i="6"/>
  <c r="E62" i="6"/>
  <c r="D28" i="1"/>
  <c r="E60" i="6"/>
  <c r="C28" i="1"/>
  <c r="B28" i="1"/>
  <c r="D62" i="6"/>
  <c r="D27" i="1"/>
  <c r="D60" i="6"/>
  <c r="C27" i="1"/>
  <c r="B27" i="1"/>
  <c r="C62" i="6"/>
  <c r="D26" i="1"/>
  <c r="C60" i="6"/>
  <c r="C26" i="1"/>
  <c r="B26" i="1"/>
  <c r="B62" i="6"/>
  <c r="D25" i="1"/>
  <c r="B60" i="6"/>
  <c r="C25" i="1"/>
  <c r="B25" i="1"/>
  <c r="D18" i="1"/>
  <c r="B15" i="3"/>
  <c r="B16" i="3"/>
  <c r="B17" i="3"/>
  <c r="B18" i="3"/>
  <c r="D17" i="1"/>
  <c r="D16" i="1"/>
  <c r="D15" i="1"/>
  <c r="D12" i="1"/>
  <c r="D11" i="1"/>
  <c r="D10" i="1"/>
  <c r="D9" i="1"/>
  <c r="B9" i="1"/>
  <c r="D8" i="1"/>
  <c r="F36" i="7"/>
  <c r="F35" i="7"/>
  <c r="F34" i="7"/>
  <c r="F33" i="7"/>
  <c r="F32" i="7"/>
  <c r="F31" i="7"/>
  <c r="F30" i="7"/>
  <c r="F29" i="7"/>
  <c r="F28" i="7"/>
  <c r="F27" i="7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C5" i="6"/>
  <c r="D6" i="6"/>
  <c r="C6" i="6"/>
  <c r="D7" i="6"/>
  <c r="C7" i="6"/>
  <c r="D8" i="6"/>
  <c r="C8" i="6"/>
  <c r="D9" i="6"/>
  <c r="C9" i="6"/>
  <c r="D10" i="6"/>
  <c r="C10" i="6"/>
  <c r="D11" i="6"/>
  <c r="C11" i="6"/>
  <c r="D12" i="6"/>
  <c r="C12" i="6"/>
  <c r="D13" i="6"/>
  <c r="C13" i="6"/>
  <c r="D14" i="6"/>
  <c r="C14" i="6"/>
  <c r="D15" i="6"/>
  <c r="C15" i="6"/>
  <c r="D16" i="6"/>
  <c r="C16" i="6"/>
  <c r="D17" i="6"/>
  <c r="C17" i="6"/>
  <c r="D18" i="6"/>
  <c r="C18" i="6"/>
  <c r="D19" i="6"/>
  <c r="C19" i="6"/>
  <c r="D20" i="6"/>
  <c r="C20" i="6"/>
  <c r="D21" i="6"/>
  <c r="C21" i="6"/>
  <c r="D22" i="6"/>
  <c r="C22" i="6"/>
  <c r="D23" i="6"/>
  <c r="C23" i="6"/>
  <c r="D24" i="6"/>
  <c r="C24" i="6"/>
  <c r="D25" i="6"/>
  <c r="C25" i="6"/>
  <c r="D26" i="6"/>
  <c r="C26" i="6"/>
  <c r="D27" i="6"/>
  <c r="C27" i="6"/>
  <c r="D28" i="6"/>
  <c r="C28" i="6"/>
  <c r="D29" i="6"/>
  <c r="C29" i="6"/>
  <c r="D30" i="6"/>
  <c r="C30" i="6"/>
  <c r="G30" i="6"/>
  <c r="H30" i="6"/>
  <c r="J30" i="6"/>
  <c r="E6" i="6"/>
  <c r="F6" i="6"/>
  <c r="E7" i="6"/>
  <c r="F7" i="6"/>
  <c r="E8" i="6"/>
  <c r="F8" i="6"/>
  <c r="E9" i="6"/>
  <c r="F9" i="6"/>
  <c r="E10" i="6"/>
  <c r="F10" i="6"/>
  <c r="E11" i="6"/>
  <c r="F11" i="6"/>
  <c r="E12" i="6"/>
  <c r="F12" i="6"/>
  <c r="E13" i="6"/>
  <c r="F13" i="6"/>
  <c r="E14" i="6"/>
  <c r="F14" i="6"/>
  <c r="E15" i="6"/>
  <c r="F15" i="6"/>
  <c r="E16" i="6"/>
  <c r="F16" i="6"/>
  <c r="E17" i="6"/>
  <c r="F17" i="6"/>
  <c r="E18" i="6"/>
  <c r="F18" i="6"/>
  <c r="E19" i="6"/>
  <c r="F19" i="6"/>
  <c r="E20" i="6"/>
  <c r="F20" i="6"/>
  <c r="E21" i="6"/>
  <c r="F21" i="6"/>
  <c r="E22" i="6"/>
  <c r="F22" i="6"/>
  <c r="E23" i="6"/>
  <c r="F23" i="6"/>
  <c r="E24" i="6"/>
  <c r="F24" i="6"/>
  <c r="E25" i="6"/>
  <c r="F25" i="6"/>
  <c r="E26" i="6"/>
  <c r="F26" i="6"/>
  <c r="E27" i="6"/>
  <c r="F27" i="6"/>
  <c r="E28" i="6"/>
  <c r="F28" i="6"/>
  <c r="E29" i="6"/>
  <c r="F29" i="6"/>
  <c r="E30" i="6"/>
  <c r="F30" i="6"/>
  <c r="K30" i="6"/>
  <c r="L30" i="6"/>
  <c r="B22" i="7"/>
  <c r="D22" i="7"/>
  <c r="E22" i="7"/>
  <c r="G25" i="6"/>
  <c r="H25" i="6"/>
  <c r="B21" i="7"/>
  <c r="C21" i="7"/>
  <c r="D21" i="7"/>
  <c r="E21" i="7"/>
  <c r="G20" i="6"/>
  <c r="H20" i="6"/>
  <c r="B20" i="7"/>
  <c r="C20" i="7"/>
  <c r="D20" i="7"/>
  <c r="E20" i="7"/>
  <c r="G15" i="6"/>
  <c r="H15" i="6"/>
  <c r="B19" i="7"/>
  <c r="C19" i="7"/>
  <c r="D19" i="7"/>
  <c r="E19" i="7"/>
  <c r="G12" i="6"/>
  <c r="H12" i="6"/>
  <c r="B18" i="7"/>
  <c r="C18" i="7"/>
  <c r="D18" i="7"/>
  <c r="E18" i="7"/>
  <c r="G10" i="6"/>
  <c r="H10" i="6"/>
  <c r="B17" i="7"/>
  <c r="C17" i="7"/>
  <c r="D17" i="7"/>
  <c r="E17" i="7"/>
  <c r="G8" i="6"/>
  <c r="H8" i="6"/>
  <c r="B16" i="7"/>
  <c r="C16" i="7"/>
  <c r="D16" i="7"/>
  <c r="E16" i="7"/>
  <c r="G6" i="6"/>
  <c r="H6" i="6"/>
  <c r="B15" i="7"/>
  <c r="C15" i="7"/>
  <c r="D15" i="7"/>
  <c r="E15" i="7"/>
  <c r="H11" i="7"/>
  <c r="G11" i="7"/>
  <c r="F11" i="7"/>
  <c r="E11" i="7"/>
  <c r="D11" i="7"/>
  <c r="C11" i="7"/>
  <c r="B11" i="7"/>
  <c r="H10" i="7"/>
  <c r="G10" i="7"/>
  <c r="F10" i="7"/>
  <c r="E10" i="7"/>
  <c r="D10" i="7"/>
  <c r="C10" i="7"/>
  <c r="B10" i="7"/>
  <c r="H9" i="7"/>
  <c r="G9" i="7"/>
  <c r="F9" i="7"/>
  <c r="E9" i="7"/>
  <c r="D9" i="7"/>
  <c r="C9" i="7"/>
  <c r="B9" i="7"/>
  <c r="H8" i="7"/>
  <c r="G8" i="7"/>
  <c r="F8" i="7"/>
  <c r="E8" i="7"/>
  <c r="D8" i="7"/>
  <c r="C8" i="7"/>
  <c r="B8" i="7"/>
  <c r="H7" i="7"/>
  <c r="G7" i="7"/>
  <c r="F7" i="7"/>
  <c r="E7" i="7"/>
  <c r="D7" i="7"/>
  <c r="C7" i="7"/>
  <c r="B7" i="7"/>
  <c r="H6" i="7"/>
  <c r="G6" i="7"/>
  <c r="F6" i="7"/>
  <c r="E6" i="7"/>
  <c r="D6" i="7"/>
  <c r="C6" i="7"/>
  <c r="B6" i="7"/>
  <c r="H5" i="7"/>
  <c r="G5" i="7"/>
  <c r="F5" i="7"/>
  <c r="E5" i="7"/>
  <c r="D5" i="7"/>
  <c r="C5" i="7"/>
  <c r="B5" i="7"/>
  <c r="E63" i="6"/>
  <c r="D63" i="6"/>
  <c r="C63" i="6"/>
  <c r="B63" i="6"/>
  <c r="E61" i="6"/>
  <c r="D61" i="6"/>
  <c r="C61" i="6"/>
  <c r="B61" i="6"/>
  <c r="E49" i="6"/>
  <c r="B36" i="6"/>
  <c r="B37" i="6"/>
  <c r="B38" i="6"/>
  <c r="B39" i="6"/>
  <c r="B40" i="6"/>
  <c r="B33" i="6"/>
  <c r="B45" i="6"/>
  <c r="B44" i="6"/>
  <c r="B43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K6" i="6"/>
  <c r="L6" i="6"/>
  <c r="M6" i="6"/>
  <c r="I6" i="6"/>
  <c r="H5" i="6"/>
  <c r="L5" i="6"/>
  <c r="M5" i="6"/>
  <c r="I5" i="6"/>
  <c r="I33" i="5"/>
  <c r="H33" i="5"/>
  <c r="F33" i="5"/>
  <c r="D33" i="5"/>
  <c r="G33" i="5"/>
  <c r="E33" i="5"/>
  <c r="C33" i="5"/>
  <c r="B33" i="5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4" i="4"/>
  <c r="D35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4" i="4"/>
  <c r="C35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4" i="4"/>
  <c r="B35" i="4"/>
  <c r="D33" i="4"/>
  <c r="C33" i="4"/>
  <c r="B33" i="4"/>
  <c r="D32" i="4"/>
  <c r="C32" i="4"/>
  <c r="B32" i="4"/>
  <c r="E5" i="4"/>
  <c r="E4" i="4"/>
  <c r="B24" i="3"/>
  <c r="B25" i="3"/>
  <c r="C18" i="3"/>
  <c r="C17" i="3"/>
  <c r="C16" i="3"/>
  <c r="C15" i="3"/>
  <c r="B12" i="3"/>
  <c r="C12" i="3"/>
  <c r="C11" i="3"/>
  <c r="C10" i="3"/>
  <c r="C7" i="3"/>
  <c r="C6" i="3"/>
  <c r="K7" i="6"/>
  <c r="G7" i="6"/>
  <c r="H7" i="6"/>
  <c r="E7" i="4"/>
  <c r="E6" i="4"/>
  <c r="K8" i="6"/>
  <c r="I7" i="6"/>
  <c r="L7" i="6"/>
  <c r="M7" i="6"/>
  <c r="E8" i="4"/>
  <c r="L8" i="6"/>
  <c r="M8" i="6"/>
  <c r="I8" i="6"/>
  <c r="G9" i="6"/>
  <c r="H9" i="6"/>
  <c r="K9" i="6"/>
  <c r="E9" i="4"/>
  <c r="L9" i="6"/>
  <c r="M9" i="6"/>
  <c r="I9" i="6"/>
  <c r="K10" i="6"/>
  <c r="E10" i="4"/>
  <c r="L10" i="6"/>
  <c r="M10" i="6"/>
  <c r="I10" i="6"/>
  <c r="G11" i="6"/>
  <c r="H11" i="6"/>
  <c r="K11" i="6"/>
  <c r="E11" i="4"/>
  <c r="I11" i="6"/>
  <c r="L11" i="6"/>
  <c r="M11" i="6"/>
  <c r="K12" i="6"/>
  <c r="E12" i="4"/>
  <c r="I12" i="6"/>
  <c r="L12" i="6"/>
  <c r="M12" i="6"/>
  <c r="K13" i="6"/>
  <c r="G13" i="6"/>
  <c r="H13" i="6"/>
  <c r="E13" i="4"/>
  <c r="G14" i="6"/>
  <c r="H14" i="6"/>
  <c r="I13" i="6"/>
  <c r="L13" i="6"/>
  <c r="M13" i="6"/>
  <c r="K14" i="6"/>
  <c r="E14" i="4"/>
  <c r="I14" i="6"/>
  <c r="L14" i="6"/>
  <c r="M14" i="6"/>
  <c r="K15" i="6"/>
  <c r="E15" i="4"/>
  <c r="L15" i="6"/>
  <c r="M15" i="6"/>
  <c r="I15" i="6"/>
  <c r="G16" i="6"/>
  <c r="H16" i="6"/>
  <c r="K16" i="6"/>
  <c r="E16" i="4"/>
  <c r="I16" i="6"/>
  <c r="L16" i="6"/>
  <c r="M16" i="6"/>
  <c r="K17" i="6"/>
  <c r="G17" i="6"/>
  <c r="H17" i="6"/>
  <c r="E17" i="4"/>
  <c r="I17" i="6"/>
  <c r="L17" i="6"/>
  <c r="M17" i="6"/>
  <c r="K18" i="6"/>
  <c r="G18" i="6"/>
  <c r="H18" i="6"/>
  <c r="E18" i="4"/>
  <c r="L18" i="6"/>
  <c r="M18" i="6"/>
  <c r="I18" i="6"/>
  <c r="G19" i="6"/>
  <c r="H19" i="6"/>
  <c r="K19" i="6"/>
  <c r="E19" i="4"/>
  <c r="K20" i="6"/>
  <c r="L19" i="6"/>
  <c r="M19" i="6"/>
  <c r="I19" i="6"/>
  <c r="E20" i="4"/>
  <c r="L20" i="6"/>
  <c r="M20" i="6"/>
  <c r="I20" i="6"/>
  <c r="K21" i="6"/>
  <c r="G21" i="6"/>
  <c r="H21" i="6"/>
  <c r="E21" i="4"/>
  <c r="I21" i="6"/>
  <c r="L21" i="6"/>
  <c r="M21" i="6"/>
  <c r="G22" i="6"/>
  <c r="H22" i="6"/>
  <c r="K22" i="6"/>
  <c r="E22" i="4"/>
  <c r="I22" i="6"/>
  <c r="L22" i="6"/>
  <c r="M22" i="6"/>
  <c r="K23" i="6"/>
  <c r="G23" i="6"/>
  <c r="H23" i="6"/>
  <c r="E23" i="4"/>
  <c r="K24" i="6"/>
  <c r="L23" i="6"/>
  <c r="M23" i="6"/>
  <c r="I23" i="6"/>
  <c r="G24" i="6"/>
  <c r="H24" i="6"/>
  <c r="E24" i="4"/>
  <c r="L24" i="6"/>
  <c r="M24" i="6"/>
  <c r="I24" i="6"/>
  <c r="K25" i="6"/>
  <c r="E25" i="4"/>
  <c r="L25" i="6"/>
  <c r="M25" i="6"/>
  <c r="I25" i="6"/>
  <c r="G26" i="6"/>
  <c r="H26" i="6"/>
  <c r="K26" i="6"/>
  <c r="E26" i="4"/>
  <c r="I26" i="6"/>
  <c r="L26" i="6"/>
  <c r="M26" i="6"/>
  <c r="K27" i="6"/>
  <c r="G27" i="6"/>
  <c r="H27" i="6"/>
  <c r="E27" i="4"/>
  <c r="I27" i="6"/>
  <c r="L27" i="6"/>
  <c r="M27" i="6"/>
  <c r="G28" i="6"/>
  <c r="H28" i="6"/>
  <c r="K28" i="6"/>
  <c r="E29" i="4"/>
  <c r="E28" i="4"/>
  <c r="K29" i="6"/>
  <c r="L28" i="6"/>
  <c r="M28" i="6"/>
  <c r="I28" i="6"/>
  <c r="G29" i="6"/>
  <c r="H29" i="6"/>
  <c r="L29" i="6"/>
  <c r="M29" i="6"/>
  <c r="I29" i="6"/>
  <c r="M30" i="6"/>
  <c r="I3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 Michael Herzog</author>
  </authors>
  <commentList>
    <comment ref="B27" authorId="0" shapeId="0" xr:uid="{B464D223-79A5-694D-8B9F-F07A910F697A}">
      <text>
        <r>
          <rPr>
            <b/>
            <sz val="10"/>
            <color rgb="FF000000"/>
            <rFont val="Tahoma"/>
            <family val="2"/>
          </rPr>
          <t>Dr. Michael Herzog:</t>
        </r>
        <r>
          <rPr>
            <sz val="10"/>
            <color rgb="FF000000"/>
            <rFont val="Tahoma"/>
            <family val="2"/>
          </rPr>
          <t xml:space="preserve">
Source: Approximate market price, Feb 2025</t>
        </r>
      </text>
    </comment>
    <comment ref="B33" authorId="0" shapeId="0" xr:uid="{7BC004E1-A226-DB4A-BCB7-B50458E87B32}">
      <text>
        <r>
          <rPr>
            <b/>
            <sz val="10"/>
            <color rgb="FF000000"/>
            <rFont val="Tahoma"/>
            <family val="2"/>
          </rPr>
          <t>Dr. Michael Herzog:</t>
        </r>
        <r>
          <rPr>
            <sz val="10"/>
            <color rgb="FF000000"/>
            <rFont val="Tahoma"/>
            <family val="2"/>
          </rPr>
          <t xml:space="preserve">
Key assumption: % allocated to gold for capital protection. Remaining goes to PE.</t>
        </r>
      </text>
    </comment>
    <comment ref="B58" authorId="0" shapeId="0" xr:uid="{A9096706-3E91-3E4B-BA5A-D7FF93D45952}">
      <text>
        <r>
          <rPr>
            <b/>
            <sz val="10"/>
            <color rgb="FF000000"/>
            <rFont val="Tahoma"/>
            <family val="2"/>
          </rPr>
          <t>Dr. Michael Herzog:</t>
        </r>
        <r>
          <rPr>
            <sz val="10"/>
            <color rgb="FF000000"/>
            <rFont val="Tahoma"/>
            <family val="2"/>
          </rPr>
          <t xml:space="preserve">
Key assumption: investor's required return / opportunity cost</t>
        </r>
      </text>
    </comment>
    <comment ref="B63" authorId="0" shapeId="0" xr:uid="{8A2D758B-03A1-A045-84C2-129A227E18CC}">
      <text>
        <r>
          <rPr>
            <b/>
            <sz val="10"/>
            <color rgb="FF000000"/>
            <rFont val="Tahoma"/>
            <family val="2"/>
          </rPr>
          <t>Dr. Michael Herzog:</t>
        </r>
        <r>
          <rPr>
            <sz val="10"/>
            <color rgb="FF000000"/>
            <rFont val="Tahoma"/>
            <family val="2"/>
          </rPr>
          <t xml:space="preserve">
0.01% annual tax on NAV per prospectus</t>
        </r>
      </text>
    </comment>
  </commentList>
</comments>
</file>

<file path=xl/sharedStrings.xml><?xml version="1.0" encoding="utf-8"?>
<sst xmlns="http://schemas.openxmlformats.org/spreadsheetml/2006/main" count="415" uniqueCount="365">
  <si>
    <t>ASSUMPTIONS &amp; KEY INPUTS</t>
  </si>
  <si>
    <t>BOND TERMS</t>
  </si>
  <si>
    <t>Issuer</t>
  </si>
  <si>
    <t>IFBH GmbH</t>
  </si>
  <si>
    <t>Program Size ($mm)</t>
  </si>
  <si>
    <t>Currency</t>
  </si>
  <si>
    <t>USD</t>
  </si>
  <si>
    <t>Nominal per Note ($)</t>
  </si>
  <si>
    <t>Issue Date</t>
  </si>
  <si>
    <t>Maturity (years)</t>
  </si>
  <si>
    <t>Redemption Date</t>
  </si>
  <si>
    <t>Fixed Coupon (cumulative, at maturity)</t>
  </si>
  <si>
    <t>Annual Equivalent Coupon Rate</t>
  </si>
  <si>
    <t>PE Profit Participation</t>
  </si>
  <si>
    <t>Capital Protection</t>
  </si>
  <si>
    <t>100% at maturity (Gold 99.99% backed)</t>
  </si>
  <si>
    <t>Minimum Redemption Price</t>
  </si>
  <si>
    <t>Lock-up Period (months)</t>
  </si>
  <si>
    <t>Early Redemption Fee (Yr 0-5)</t>
  </si>
  <si>
    <t>Early Redemption Fee (Yr 5-25)</t>
  </si>
  <si>
    <t>Subscription Fee</t>
  </si>
  <si>
    <t>Annual Admin Fee (max)</t>
  </si>
  <si>
    <t>Valuation Frequency</t>
  </si>
  <si>
    <t>Quarterly</t>
  </si>
  <si>
    <t>Governing Law</t>
  </si>
  <si>
    <t>English</t>
  </si>
  <si>
    <t>Guarantor Rating</t>
  </si>
  <si>
    <t>Aa/A/A (Moody's/S&amp;P/Fitch)</t>
  </si>
  <si>
    <t>GOLD ASSUMPTIONS</t>
  </si>
  <si>
    <t>Current Gold Price ($/oz)</t>
  </si>
  <si>
    <t>Gold Price Growth (Base, p.a.)</t>
  </si>
  <si>
    <t>Gold Price Growth (Bull, p.a.)</t>
  </si>
  <si>
    <t>Gold Price Growth (Bear, p.a.)</t>
  </si>
  <si>
    <t>Gold Purity</t>
  </si>
  <si>
    <t>Storage/Insurance Cost (p.a.)</t>
  </si>
  <si>
    <t>Gold Allocation (% of proceeds)</t>
  </si>
  <si>
    <t>IMEC PROJECT ASSUMPTIONS</t>
  </si>
  <si>
    <t>Parameter</t>
  </si>
  <si>
    <t>Option A
(Conservative)</t>
  </si>
  <si>
    <t>Option B
(Base Case)</t>
  </si>
  <si>
    <t>Option C
(Aggressive)</t>
  </si>
  <si>
    <t>Phased Hybrid
(Recommended)</t>
  </si>
  <si>
    <t>Units</t>
  </si>
  <si>
    <t>Total Capex (P50)</t>
  </si>
  <si>
    <t>$mm</t>
  </si>
  <si>
    <t>Timeline to Ops</t>
  </si>
  <si>
    <t>months</t>
  </si>
  <si>
    <t>NPV</t>
  </si>
  <si>
    <t>Discount Rate Used</t>
  </si>
  <si>
    <t>IRR</t>
  </si>
  <si>
    <t>Payback Period</t>
  </si>
  <si>
    <t>years</t>
  </si>
  <si>
    <t>Success Probability</t>
  </si>
  <si>
    <t>Yr 10 Revenue</t>
  </si>
  <si>
    <t>Yr 10 EBITDA</t>
  </si>
  <si>
    <t>Stranded Asset Risk</t>
  </si>
  <si>
    <t>Low</t>
  </si>
  <si>
    <t>Moderate</t>
  </si>
  <si>
    <t>Very High</t>
  </si>
  <si>
    <t>Political Risk</t>
  </si>
  <si>
    <t>High</t>
  </si>
  <si>
    <t>Medium</t>
  </si>
  <si>
    <t>Normalization Dependency</t>
  </si>
  <si>
    <t>None</t>
  </si>
  <si>
    <t>Absolute</t>
  </si>
  <si>
    <t>Target Net Profit (p.a.)</t>
  </si>
  <si>
    <t>SCENARIO ASSUMPTIONS</t>
  </si>
  <si>
    <t>Scenario</t>
  </si>
  <si>
    <t>PE Return (p.a.)</t>
  </si>
  <si>
    <t>Probability</t>
  </si>
  <si>
    <t>Description</t>
  </si>
  <si>
    <t>Upside</t>
  </si>
  <si>
    <t>Full normalization, all pillars operational</t>
  </si>
  <si>
    <t>Base Case</t>
  </si>
  <si>
    <t>Partial corridor, phased delivery</t>
  </si>
  <si>
    <t>Downside</t>
  </si>
  <si>
    <t>Normalization fails, limited corridor only</t>
  </si>
  <si>
    <t>DISCOUNT RATES &amp; FX</t>
  </si>
  <si>
    <t>Investor Discount Rate</t>
  </si>
  <si>
    <t>Risk-Free Rate (25yr UST)</t>
  </si>
  <si>
    <t>Credit Spread (Issuer)</t>
  </si>
  <si>
    <t>EUR/USD (current)</t>
  </si>
  <si>
    <t>Inflation Assumption (p.a.)</t>
  </si>
  <si>
    <t>Tax Rate (Issuer, annual)</t>
  </si>
  <si>
    <t>ISSUER BALANCE SHEET (31 Dec 2025)</t>
  </si>
  <si>
    <t>Total Assets (EUR)</t>
  </si>
  <si>
    <t xml:space="preserve">  Non-current Assets</t>
  </si>
  <si>
    <t xml:space="preserve">  Cash &amp; Equivalents</t>
  </si>
  <si>
    <t>Share Capital</t>
  </si>
  <si>
    <t>Retained Earnings</t>
  </si>
  <si>
    <t>Total Equity</t>
  </si>
  <si>
    <t>Borrowings (Non-current)</t>
  </si>
  <si>
    <t>Total Liabilities</t>
  </si>
  <si>
    <t>Parent Tier 1 Capital (2024, EUR)</t>
  </si>
  <si>
    <t>Parent Tier 2 Capital (2024, EUR)</t>
  </si>
  <si>
    <t>CAPITAL ALLOCATION &amp; FEE WATERFALL</t>
  </si>
  <si>
    <t>USD 250,000,000 Program — Proceeds Waterfall</t>
  </si>
  <si>
    <t>Amount ($mm)</t>
  </si>
  <si>
    <t>% of Gross</t>
  </si>
  <si>
    <t>Gross Proceeds</t>
  </si>
  <si>
    <t>Less: Subscription Fee (1%)</t>
  </si>
  <si>
    <t>Net Proceeds</t>
  </si>
  <si>
    <t>ALLOCATION OF NET PROCEEDS</t>
  </si>
  <si>
    <t>Gold Purchase (Capital Protection)</t>
  </si>
  <si>
    <t>PE Investment (IMEC Project)</t>
  </si>
  <si>
    <t>Total Deployed</t>
  </si>
  <si>
    <t>ANNUAL RECURRING FEES</t>
  </si>
  <si>
    <t>Admin/Custodian/Service Fee (1.25% NAV)</t>
  </si>
  <si>
    <t>Issuer Tax (0.01% NAV quarterly)</t>
  </si>
  <si>
    <t>Storage &amp; Insurance (Gold)</t>
  </si>
  <si>
    <t>Total Annual Fees</t>
  </si>
  <si>
    <t>GOLD PURCHASE CALCULATION</t>
  </si>
  <si>
    <t>Gold Allocation ($mm)</t>
  </si>
  <si>
    <t>Gold Price at Purchase ($/oz)</t>
  </si>
  <si>
    <t>Troy Ounces Purchased</t>
  </si>
  <si>
    <t>Kilograms of Gold (1 oz = 31.1035g)</t>
  </si>
  <si>
    <t>Number of 1 kg Bars</t>
  </si>
  <si>
    <t>GOLD CAPITAL PROTECTION MODEL — 25-Year Projection</t>
  </si>
  <si>
    <t>Year</t>
  </si>
  <si>
    <t>Bear Case
Gold Price ($/oz)</t>
  </si>
  <si>
    <t>Base Case
Gold Price ($/oz)</t>
  </si>
  <si>
    <t>Bull Case
Gold Price ($/oz)</t>
  </si>
  <si>
    <t>Gold Holdings
Value - Base ($mm)</t>
  </si>
  <si>
    <t>MATURITY SUMMARY (Year 25)</t>
  </si>
  <si>
    <t>Gold Price at Maturity</t>
  </si>
  <si>
    <t>Gold Appreciation (%)</t>
  </si>
  <si>
    <t>Gold Holdings Value ($mm)</t>
  </si>
  <si>
    <t>Covers Capital Protection?</t>
  </si>
  <si>
    <t>IMEC INVESTMENT OPTIONS — 25-Year Comparative Analysis</t>
  </si>
  <si>
    <t>All figures based on prospectus data (Addendum A &amp; B). Railway-only 25-year FCF model per dossier.</t>
  </si>
  <si>
    <t>RAILWAY FCF MODEL (P50, $mm)</t>
  </si>
  <si>
    <t>Capex</t>
  </si>
  <si>
    <t>Volume
(M tonnes)</t>
  </si>
  <si>
    <t>Revenue</t>
  </si>
  <si>
    <t>Opex</t>
  </si>
  <si>
    <t>EBITDA</t>
  </si>
  <si>
    <t>EBITDA
Margin</t>
  </si>
  <si>
    <t>Maint.
Capex</t>
  </si>
  <si>
    <t>FCF</t>
  </si>
  <si>
    <t>TOTALS / KEY METRICS</t>
  </si>
  <si>
    <t>Total / Average</t>
  </si>
  <si>
    <t>NPV @ 10% ($mm)</t>
  </si>
  <si>
    <t>INVESTMENT OPTIONS COMPARISON</t>
  </si>
  <si>
    <t>Metric</t>
  </si>
  <si>
    <t>Option A
Conservative</t>
  </si>
  <si>
    <t>Option B
Base Case</t>
  </si>
  <si>
    <t>Option C
Aggressive</t>
  </si>
  <si>
    <t>Phased Hybrid
(RECOMMENDED)</t>
  </si>
  <si>
    <t>Notes</t>
  </si>
  <si>
    <t>Total Capex ($B)</t>
  </si>
  <si>
    <t>$12–15B</t>
  </si>
  <si>
    <t>$28–35B</t>
  </si>
  <si>
    <t>$580–650B</t>
  </si>
  <si>
    <t>$21.5B</t>
  </si>
  <si>
    <t>Staged over 15 years</t>
  </si>
  <si>
    <t>NPV @ Disc Rate ($B)</t>
  </si>
  <si>
    <t>$8.2B @8%</t>
  </si>
  <si>
    <t>$14.7B @10%</t>
  </si>
  <si>
    <t>$87B @12%</t>
  </si>
  <si>
    <t>$8.9B @10%</t>
  </si>
  <si>
    <t>Probability-weighted</t>
  </si>
  <si>
    <t>Highest risk-adj return</t>
  </si>
  <si>
    <t>Payback (years)</t>
  </si>
  <si>
    <t>18+</t>
  </si>
  <si>
    <t>Timeline to Operations</t>
  </si>
  <si>
    <t>5 years</t>
  </si>
  <si>
    <t>8 years</t>
  </si>
  <si>
    <t>15 years</t>
  </si>
  <si>
    <t>5–15 years</t>
  </si>
  <si>
    <t>Phased approach</t>
  </si>
  <si>
    <t>35–40%</t>
  </si>
  <si>
    <t>20–25%</t>
  </si>
  <si>
    <t>Blended across phases</t>
  </si>
  <si>
    <t>Phase 1 has standalone value</t>
  </si>
  <si>
    <t>Only Phase 2/3</t>
  </si>
  <si>
    <t>Real Options Value</t>
  </si>
  <si>
    <t>N/A</t>
  </si>
  <si>
    <t>$900M</t>
  </si>
  <si>
    <t>Flexibility premium</t>
  </si>
  <si>
    <t>RECOMMENDATION</t>
  </si>
  <si>
    <t>Immediate</t>
  </si>
  <si>
    <t>Conditional</t>
  </si>
  <si>
    <t>Defer</t>
  </si>
  <si>
    <t>PREFERRED ✓</t>
  </si>
  <si>
    <t>Board-recommended</t>
  </si>
  <si>
    <t>INVESTOR RETURN MODEL — 25-Year Full Program ($250M)</t>
  </si>
  <si>
    <t>Maturity payout = Capital Protection (Gold) + Cumulative Coupon (50%) + 10% PE Profit Participation</t>
  </si>
  <si>
    <t>Gold Value
($mm)</t>
  </si>
  <si>
    <t>PE Investment
BOY ($mm)</t>
  </si>
  <si>
    <t>PE Return
Rate</t>
  </si>
  <si>
    <t>PE Profit
($mm)</t>
  </si>
  <si>
    <t>Cumulative
PE Profit</t>
  </si>
  <si>
    <t>Admin Fee
($mm)</t>
  </si>
  <si>
    <t>Total NAV
($mm)</t>
  </si>
  <si>
    <t>NAV per Note
($)</t>
  </si>
  <si>
    <t>Coupon
Accrual ($mm)</t>
  </si>
  <si>
    <t>10% PE
Participation</t>
  </si>
  <si>
    <t>Total Investor
Value ($mm)</t>
  </si>
  <si>
    <t>MOIC</t>
  </si>
  <si>
    <t>-</t>
  </si>
  <si>
    <t>MATURITY PAYOUT SUMMARY</t>
  </si>
  <si>
    <t>Initial Investment ($mm)</t>
  </si>
  <si>
    <t>MATURITY PAYOUTS:</t>
  </si>
  <si>
    <t xml:space="preserve">  1. Capital Return (Face Value)</t>
  </si>
  <si>
    <t>100% capital protection at maturity</t>
  </si>
  <si>
    <t xml:space="preserve">  2. Fixed Coupon (50% cumulative)</t>
  </si>
  <si>
    <t>2% p.a. × 25 years, non-compounding</t>
  </si>
  <si>
    <t xml:space="preserve">  3. Gold Appreciation (above face)</t>
  </si>
  <si>
    <t>Upside from gold backing above par</t>
  </si>
  <si>
    <t xml:space="preserve">  4. PE Profit Participation (10%)</t>
  </si>
  <si>
    <t>10% of cumulative PE net profits</t>
  </si>
  <si>
    <t>Total Maturity Payout ($mm)</t>
  </si>
  <si>
    <t>KEY RETURN METRICS</t>
  </si>
  <si>
    <t xml:space="preserve">  MOIC (Money-on-Money)</t>
  </si>
  <si>
    <t xml:space="preserve">  Total Return (%)</t>
  </si>
  <si>
    <t xml:space="preserve">  Annualized Return (IRR)</t>
  </si>
  <si>
    <t>SCENARIO ANALYSIS</t>
  </si>
  <si>
    <t>Probability-
Weighted</t>
  </si>
  <si>
    <t>PE Annual Return</t>
  </si>
  <si>
    <t>Gold Growth Scenario</t>
  </si>
  <si>
    <t>Bear (1%/yr)</t>
  </si>
  <si>
    <t>Base (4%/yr)</t>
  </si>
  <si>
    <t>Bull (7%/yr)</t>
  </si>
  <si>
    <t>Capital Return ($mm)</t>
  </si>
  <si>
    <t>Coupon (50% cumulative, $mm)</t>
  </si>
  <si>
    <t>Gold Appreciation ($mm)</t>
  </si>
  <si>
    <t>PE Profit (cumul., $mm)</t>
  </si>
  <si>
    <t>10% PE Participation ($mm)</t>
  </si>
  <si>
    <t>Total Payout ($mm)</t>
  </si>
  <si>
    <t>Total Return (%)</t>
  </si>
  <si>
    <t>Annualized IRR</t>
  </si>
  <si>
    <t>NPV @ 8% ($mm)</t>
  </si>
  <si>
    <t>SENSITIVITY ANALYSIS &amp; RISK ASSESSMENT</t>
  </si>
  <si>
    <t>2-WAY SENSITIVITY: TOTAL MOIC (Gold Growth Rate × PE Return Rate)</t>
  </si>
  <si>
    <t>Gold Growth ↓ / PE Return →</t>
  </si>
  <si>
    <t>EARLY REDEMPTION ANALYSIS (Base Case Assumptions)</t>
  </si>
  <si>
    <t>Exit Year</t>
  </si>
  <si>
    <t>NAV ($mm)</t>
  </si>
  <si>
    <t>Redemption Fee</t>
  </si>
  <si>
    <t>Net to Investor ($mm)</t>
  </si>
  <si>
    <t>Annualized Return</t>
  </si>
  <si>
    <t>6% (Yr 0-5), 5% (Yr 5-25), 0% at maturity</t>
  </si>
  <si>
    <t>TOP-10 RISK REGISTER (from Prospectus Addendum)</t>
  </si>
  <si>
    <t>ID</t>
  </si>
  <si>
    <t>Risk Category</t>
  </si>
  <si>
    <t>L</t>
  </si>
  <si>
    <t>C</t>
  </si>
  <si>
    <t>Score</t>
  </si>
  <si>
    <t>Residual</t>
  </si>
  <si>
    <t>R01</t>
  </si>
  <si>
    <t>Political</t>
  </si>
  <si>
    <t>Israeli-Saudi normalization fails</t>
  </si>
  <si>
    <t>R02</t>
  </si>
  <si>
    <t>Jordan withdraws participation</t>
  </si>
  <si>
    <t>R03</t>
  </si>
  <si>
    <t>Security</t>
  </si>
  <si>
    <t>Iran-backed infrastructure attacks</t>
  </si>
  <si>
    <t>R04</t>
  </si>
  <si>
    <t>Construction</t>
  </si>
  <si>
    <t>Capex overrun &gt;25%</t>
  </si>
  <si>
    <t>R05</t>
  </si>
  <si>
    <t>Market</t>
  </si>
  <si>
    <t>Container demand falls -30%</t>
  </si>
  <si>
    <t>R06</t>
  </si>
  <si>
    <t>Regulatory</t>
  </si>
  <si>
    <t>Environmental approvals delayed &gt;24mo</t>
  </si>
  <si>
    <t>R07</t>
  </si>
  <si>
    <t>Financial</t>
  </si>
  <si>
    <t>Saudi $20B commitment not disbursed</t>
  </si>
  <si>
    <t>R08</t>
  </si>
  <si>
    <t>Technical</t>
  </si>
  <si>
    <t>ETCS interoperability failures</t>
  </si>
  <si>
    <t>R09</t>
  </si>
  <si>
    <t>Suez Canal tariff reduction &gt;20%</t>
  </si>
  <si>
    <t>R15</t>
  </si>
  <si>
    <t>Environmental</t>
  </si>
  <si>
    <t>Pipeline leak near Eilat coral reef</t>
  </si>
  <si>
    <t>IFBH GmbH — USD 250M Structured Note Investment Model</t>
  </si>
  <si>
    <t>Covered Structured Medium Term Bond Program — Series IFBH1</t>
  </si>
  <si>
    <t>IMEC Infrastructure Investment — India-Middle East-Europe Corridor</t>
  </si>
  <si>
    <t>EXECUTIVE SUMMARY</t>
  </si>
  <si>
    <t>Base Case MOIC</t>
  </si>
  <si>
    <t>Program Size</t>
  </si>
  <si>
    <t>Base Case Annualized IRR</t>
  </si>
  <si>
    <t>Probability-Weighted IRR</t>
  </si>
  <si>
    <t>Maturity</t>
  </si>
  <si>
    <t>25 years</t>
  </si>
  <si>
    <t>Downside MOIC</t>
  </si>
  <si>
    <t>Upside MOIC</t>
  </si>
  <si>
    <t>100% (Gold-backed)</t>
  </si>
  <si>
    <t>Fixed Coupon</t>
  </si>
  <si>
    <t>50% cumulative at maturity</t>
  </si>
  <si>
    <t>CAPITAL STRUCTURE</t>
  </si>
  <si>
    <t>PE Participation</t>
  </si>
  <si>
    <t>10% of net profits</t>
  </si>
  <si>
    <t>Gold Allocation</t>
  </si>
  <si>
    <t>Min Redemption</t>
  </si>
  <si>
    <t>150% of issue price</t>
  </si>
  <si>
    <t>PE Allocation</t>
  </si>
  <si>
    <t>Lock-up</t>
  </si>
  <si>
    <t>6 months</t>
  </si>
  <si>
    <t>Annual Fees</t>
  </si>
  <si>
    <t>Aa/A/A</t>
  </si>
  <si>
    <t>Gold Ounces Purchased</t>
  </si>
  <si>
    <t>Underlying</t>
  </si>
  <si>
    <t>IMEC Corridor</t>
  </si>
  <si>
    <t>Auditor</t>
  </si>
  <si>
    <t>Ernst &amp; Young</t>
  </si>
  <si>
    <t>Paying Agent</t>
  </si>
  <si>
    <t>UBS AG</t>
  </si>
  <si>
    <t>SCENARIO SUMMARY</t>
  </si>
  <si>
    <t>Ann. IRR</t>
  </si>
  <si>
    <t>Downside (35% prob)</t>
  </si>
  <si>
    <t>Base Case (45% prob)</t>
  </si>
  <si>
    <t>Upside (20% prob)</t>
  </si>
  <si>
    <t>Probability-Weighted</t>
  </si>
  <si>
    <t>IMEC OPTIONS (Board-Recommended: Phased Hybrid)</t>
  </si>
  <si>
    <t>Phase 1 (Immediate, $4.8B)</t>
  </si>
  <si>
    <t>Digital + Eastern Corridor</t>
  </si>
  <si>
    <t>Success: 85%</t>
  </si>
  <si>
    <t>Lowest Risk</t>
  </si>
  <si>
    <t>Phase 2 (Conditional, $4.4B)</t>
  </si>
  <si>
    <t>Jordan Railway + Israel</t>
  </si>
  <si>
    <t>Success: 45%</t>
  </si>
  <si>
    <t>Needs Normalization</t>
  </si>
  <si>
    <t>Phase 3 (Aspirational, $12.3B)</t>
  </si>
  <si>
    <t>Pipelines + Electrification</t>
  </si>
  <si>
    <t>Success: 25%</t>
  </si>
  <si>
    <t>Highest Risk</t>
  </si>
  <si>
    <t>Total Capex (all phases)</t>
  </si>
  <si>
    <t>$21.5B staged over 15 years</t>
  </si>
  <si>
    <t>IRR: 11.9%</t>
  </si>
  <si>
    <t>NPV: $8.9B @10%</t>
  </si>
  <si>
    <t>Railway NPV @ 10%</t>
  </si>
  <si>
    <t>Railway IRR</t>
  </si>
  <si>
    <t>MODEL NAVIGATION</t>
  </si>
  <si>
    <t>Sheet</t>
  </si>
  <si>
    <t>Contents</t>
  </si>
  <si>
    <t>Key Outputs</t>
  </si>
  <si>
    <t>1. Cover &amp; Summary</t>
  </si>
  <si>
    <t>Executive dashboard</t>
  </si>
  <si>
    <t>All key metrics at a glance</t>
  </si>
  <si>
    <t>2. Assumptions</t>
  </si>
  <si>
    <t>All hardcoded inputs (blue font)</t>
  </si>
  <si>
    <t>Bond terms, IMEC options, scenarios</t>
  </si>
  <si>
    <t>3. Capital Allocation</t>
  </si>
  <si>
    <t>Proceeds waterfall &amp; fee structure</t>
  </si>
  <si>
    <t>Gold vs PE split, annual fees</t>
  </si>
  <si>
    <t>4. Gold Protection</t>
  </si>
  <si>
    <t>25-year gold price projection</t>
  </si>
  <si>
    <t>Bear/Base/Bull coverage test</t>
  </si>
  <si>
    <t>5. IMEC Options</t>
  </si>
  <si>
    <t>25-year railway FCF + options matrix</t>
  </si>
  <si>
    <t>NPV, IRR per option</t>
  </si>
  <si>
    <t>6. Investor Returns</t>
  </si>
  <si>
    <t>Full 25-year return model</t>
  </si>
  <si>
    <t>MOIC, IRR, scenario analysis</t>
  </si>
  <si>
    <t>7. Sensitivity &amp; Risk</t>
  </si>
  <si>
    <t>2-way tables, early exit, risk register</t>
  </si>
  <si>
    <t>Break-even, top-10 risks</t>
  </si>
  <si>
    <t>FORMATTING LEGEND</t>
  </si>
  <si>
    <t>Blue text = Hardcoded inputs</t>
  </si>
  <si>
    <t>Black text = Formulas</t>
  </si>
  <si>
    <t>Yellow highlight = Key assumptions</t>
  </si>
  <si>
    <t>Green = Positive outcomes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</si>
</sst>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&quot;$&quot;#,##0"/>
    <numFmt numFmtId="165" formatCode="0.0%"/>
    <numFmt numFmtId="166" formatCode="0.0"/>
    <numFmt numFmtId="167" formatCode="#,##0.00;\(#,##0.00\)"/>
    <numFmt numFmtId="168" formatCode="&quot;$&quot;#,##0.0"/>
    <numFmt numFmtId="169" formatCode="&quot;$&quot;#,##0.0;\(&quot;$&quot;#,##0.0\)"/>
    <numFmt numFmtId="170" formatCode="&quot;$&quot;#,##0.00"/>
    <numFmt numFmtId="171" formatCode="#,##0.0"/>
    <numFmt numFmtId="172" formatCode="&quot;$&quot;#,##0;\(&quot;$&quot;#,##0\);\-"/>
    <numFmt numFmtId="173" formatCode="&quot;$&quot;#,##0;\(&quot;$&quot;#,##0\)"/>
    <numFmt numFmtId="174" formatCode="&quot;$&quot;#,##0.0;\(&quot;$&quot;#,##0.0\);\-"/>
    <numFmt numFmtId="175" formatCode="0.00\x"/>
    <numFmt numFmtId="176" formatCode="&quot;$&quot;#,##0&quot;M&quot;"/>
    <numFmt numFmtId="177" formatCode="&quot;$&quot;#,##0.0&quot;M&quot;"/>
  </numFmts>
  <fonts count="34" x14ac:knownFonts="1">
    <font>
      <sz val="12"/>
      <color theme="1"/>
      <name val="Aptos Narrow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8"/>
      <color rgb="FFFFFFFF"/>
      <name val="Calibri"/>
      <family val="2"/>
    </font>
    <font>
      <sz val="12"/>
      <color theme="1"/>
      <name val="Calibri"/>
      <family val="2"/>
    </font>
    <font>
      <sz val="13"/>
      <color rgb="FF8BB8E8"/>
      <name val="Calibri"/>
      <family val="2"/>
    </font>
    <font>
      <i/>
      <sz val="11"/>
      <color rgb="FF6C8EAD"/>
      <name val="Calibri"/>
      <family val="2"/>
    </font>
    <font>
      <b/>
      <sz val="13"/>
      <color rgb="FFFFFFFF"/>
      <name val="Calibri"/>
      <family val="2"/>
    </font>
    <font>
      <b/>
      <sz val="12"/>
      <color rgb="FFFFFFFF"/>
      <name val="Calibri"/>
      <family val="2"/>
    </font>
    <font>
      <sz val="11"/>
      <color theme="1"/>
      <name val="Calibri"/>
      <family val="2"/>
    </font>
    <font>
      <b/>
      <sz val="16"/>
      <color rgb="FF0A6640"/>
      <name val="Calibri"/>
      <family val="2"/>
    </font>
    <font>
      <b/>
      <sz val="14"/>
      <color rgb="FF0A6640"/>
      <name val="Calibri"/>
      <family val="2"/>
    </font>
    <font>
      <b/>
      <sz val="12"/>
      <color theme="1"/>
      <name val="Calibri"/>
      <family val="2"/>
    </font>
    <font>
      <sz val="12"/>
      <color rgb="FF0000FF"/>
      <name val="Calibri"/>
      <family val="2"/>
    </font>
    <font>
      <sz val="12"/>
      <color rgb="FF008000"/>
      <name val="Calibri"/>
      <family val="2"/>
    </font>
    <font>
      <b/>
      <sz val="16"/>
      <color rgb="FF0D1B2A"/>
      <name val="Calibri"/>
      <family val="2"/>
    </font>
    <font>
      <b/>
      <sz val="11"/>
      <color rgb="FFFFFFFF"/>
      <name val="Calibri"/>
      <family val="2"/>
    </font>
    <font>
      <sz val="12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2"/>
      <color rgb="FF7F8C8D"/>
      <name val="Calibri"/>
      <family val="2"/>
    </font>
    <font>
      <sz val="10"/>
      <color rgb="FFC0392B"/>
      <name val="Calibri"/>
      <family val="2"/>
    </font>
    <font>
      <b/>
      <sz val="12"/>
      <color rgb="FFFF0000"/>
      <name val="Calibri"/>
      <family val="2"/>
    </font>
    <font>
      <b/>
      <sz val="12"/>
      <color rgb="FF0A6640"/>
      <name val="Calibri"/>
      <family val="2"/>
    </font>
    <font>
      <b/>
      <sz val="9"/>
      <color rgb="FFFFFFFF"/>
      <name val="Calibri"/>
      <family val="2"/>
    </font>
    <font>
      <b/>
      <sz val="10"/>
      <color rgb="FF0A6640"/>
      <name val="Calibri"/>
      <family val="2"/>
    </font>
    <font>
      <b/>
      <sz val="14"/>
      <color theme="1"/>
      <name val="Calibri"/>
      <family val="2"/>
    </font>
    <font>
      <b/>
      <sz val="12"/>
      <color rgb="FF1F3864"/>
      <name val="Calibri"/>
      <family val="2"/>
    </font>
    <font>
      <b/>
      <sz val="13"/>
      <color rgb="FF0A6640"/>
      <name val="Calibri"/>
      <family val="2"/>
    </font>
    <font>
      <b/>
      <sz val="14"/>
      <color rgb="FF0D1B2A"/>
      <name val="Calibri"/>
      <family val="2"/>
    </font>
    <font>
      <b/>
      <sz val="11"/>
      <color theme="1"/>
      <name val="Calibri"/>
      <family val="2"/>
    </font>
    <font>
      <i/>
      <sz val="12"/>
      <color theme="1"/>
      <name val="Calibri"/>
      <family val="2"/>
    </font>
    <font>
      <i/>
      <sz val="12"/>
      <color rgb="FF666666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0D1B2A"/>
        <bgColor indexed="64"/>
      </patternFill>
    </fill>
    <fill>
      <patternFill patternType="solid">
        <fgColor rgb="FFE8B930"/>
        <bgColor indexed="64"/>
      </patternFill>
    </fill>
    <fill>
      <patternFill patternType="solid">
        <fgColor rgb="FF1B3A5C"/>
        <bgColor indexed="64"/>
      </patternFill>
    </fill>
    <fill>
      <patternFill patternType="solid">
        <fgColor rgb="FFF0F4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C4A6E"/>
        <bgColor indexed="64"/>
      </patternFill>
    </fill>
    <fill>
      <patternFill patternType="solid">
        <fgColor rgb="FFFADBD8"/>
        <bgColor indexed="64"/>
      </patternFill>
    </fill>
    <fill>
      <patternFill patternType="solid">
        <fgColor rgb="FFD5F5E3"/>
        <bgColor indexed="64"/>
      </patternFill>
    </fill>
    <fill>
      <patternFill patternType="solid">
        <fgColor rgb="FFD6EAF8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FEF3CD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943126"/>
        <bgColor indexed="64"/>
      </patternFill>
    </fill>
    <fill>
      <patternFill patternType="solid">
        <fgColor rgb="FF1E8449"/>
        <bgColor indexed="64"/>
      </patternFill>
    </fill>
    <fill>
      <patternFill patternType="solid">
        <fgColor rgb="FF2471A3"/>
        <bgColor indexed="64"/>
      </patternFill>
    </fill>
    <fill>
      <patternFill patternType="solid">
        <fgColor rgb="FFFEF9E7"/>
        <bgColor indexed="64"/>
      </patternFill>
    </fill>
    <fill>
      <patternFill patternType="solid">
        <fgColor rgb="FFABEBC6"/>
        <bgColor indexed="64"/>
      </patternFill>
    </fill>
    <fill>
      <patternFill patternType="solid">
        <fgColor rgb="FF82E0AA"/>
        <bgColor indexed="64"/>
      </patternFill>
    </fill>
    <fill>
      <patternFill patternType="solid">
        <fgColor rgb="FFE74C3C"/>
        <bgColor indexed="64"/>
      </patternFill>
    </fill>
    <fill>
      <patternFill patternType="solid">
        <fgColor rgb="FFF39C12"/>
        <bgColor indexed="64"/>
      </patternFill>
    </fill>
    <fill>
      <patternFill patternType="solid">
        <fgColor rgb="FFF7DC6F"/>
        <bgColor indexed="64"/>
      </patternFill>
    </fill>
  </fills>
  <borders count="50">
    <border>
      <left/>
      <right/>
      <top/>
      <bottom/>
      <diagonal/>
    </border>
    <border>
      <left style="medium">
        <color rgb="FF0D1B2A"/>
      </left>
      <right style="thin">
        <color rgb="FFBDC3C7"/>
      </right>
      <top style="medium">
        <color rgb="FF0D1B2A"/>
      </top>
      <bottom style="thin">
        <color rgb="FFBDC3C7"/>
      </bottom>
      <diagonal/>
    </border>
    <border>
      <left style="thin">
        <color rgb="FFBDC3C7"/>
      </left>
      <right style="thin">
        <color rgb="FFBDC3C7"/>
      </right>
      <top style="medium">
        <color rgb="FF0D1B2A"/>
      </top>
      <bottom style="thin">
        <color rgb="FFBDC3C7"/>
      </bottom>
      <diagonal/>
    </border>
    <border>
      <left style="thin">
        <color rgb="FFBDC3C7"/>
      </left>
      <right style="medium">
        <color rgb="FF0D1B2A"/>
      </right>
      <top style="medium">
        <color rgb="FF0D1B2A"/>
      </top>
      <bottom style="thin">
        <color rgb="FFBDC3C7"/>
      </bottom>
      <diagonal/>
    </border>
    <border>
      <left style="medium">
        <color rgb="FF0D1B2A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BDC3C7"/>
      </left>
      <right style="medium">
        <color rgb="FF0D1B2A"/>
      </right>
      <top style="thin">
        <color rgb="FFBDC3C7"/>
      </top>
      <bottom style="thin">
        <color rgb="FFBDC3C7"/>
      </bottom>
      <diagonal/>
    </border>
    <border>
      <left style="medium">
        <color rgb="FF0D1B2A"/>
      </left>
      <right style="thin">
        <color rgb="FFBDC3C7"/>
      </right>
      <top style="thin">
        <color rgb="FFBDC3C7"/>
      </top>
      <bottom style="medium">
        <color rgb="FF0D1B2A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medium">
        <color rgb="FF0D1B2A"/>
      </bottom>
      <diagonal/>
    </border>
    <border>
      <left style="thin">
        <color rgb="FFBDC3C7"/>
      </left>
      <right style="medium">
        <color rgb="FF0D1B2A"/>
      </right>
      <top style="thin">
        <color rgb="FFBDC3C7"/>
      </top>
      <bottom style="medium">
        <color rgb="FF0D1B2A"/>
      </bottom>
      <diagonal/>
    </border>
    <border>
      <left/>
      <right/>
      <top style="medium">
        <color rgb="FF0D1B2A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BDC3C7"/>
      </bottom>
      <diagonal/>
    </border>
    <border>
      <left/>
      <right style="thin">
        <color rgb="FFE8E8E8"/>
      </right>
      <top style="medium">
        <color rgb="FF0D1B2A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 style="medium">
        <color rgb="FF0D1B2A"/>
      </top>
      <bottom style="thin">
        <color rgb="FFE8E8E8"/>
      </bottom>
      <diagonal/>
    </border>
    <border>
      <left style="thin">
        <color rgb="FFE8E8E8"/>
      </left>
      <right/>
      <top style="medium">
        <color rgb="FF0D1B2A"/>
      </top>
      <bottom style="thin">
        <color rgb="FFE8E8E8"/>
      </bottom>
      <diagonal/>
    </border>
    <border>
      <left/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 style="thin">
        <color rgb="FFE8E8E8"/>
      </right>
      <top style="thin">
        <color rgb="FFE8E8E8"/>
      </top>
      <bottom style="thin">
        <color rgb="FFBDC3C7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BDC3C7"/>
      </bottom>
      <diagonal/>
    </border>
    <border>
      <left style="thin">
        <color rgb="FFE8E8E8"/>
      </left>
      <right/>
      <top style="thin">
        <color rgb="FFE8E8E8"/>
      </top>
      <bottom style="thin">
        <color rgb="FFBDC3C7"/>
      </bottom>
      <diagonal/>
    </border>
    <border>
      <left/>
      <right/>
      <top/>
      <bottom style="medium">
        <color rgb="FFE8B930"/>
      </bottom>
      <diagonal/>
    </border>
    <border>
      <left/>
      <right/>
      <top/>
      <bottom style="thin">
        <color rgb="FFD5D8DC"/>
      </bottom>
      <diagonal/>
    </border>
    <border>
      <left/>
      <right/>
      <top style="thin">
        <color rgb="FFD5D8DC"/>
      </top>
      <bottom style="thin">
        <color rgb="FFD5D8DC"/>
      </bottom>
      <diagonal/>
    </border>
    <border>
      <left/>
      <right style="thin">
        <color rgb="FFD5D8DC"/>
      </right>
      <top/>
      <bottom style="thin">
        <color rgb="FFD5D8DC"/>
      </bottom>
      <diagonal/>
    </border>
    <border>
      <left style="thin">
        <color rgb="FFD5D8DC"/>
      </left>
      <right style="thin">
        <color rgb="FFD5D8DC"/>
      </right>
      <top/>
      <bottom style="thin">
        <color rgb="FFD5D8DC"/>
      </bottom>
      <diagonal/>
    </border>
    <border>
      <left style="thin">
        <color rgb="FFD5D8DC"/>
      </left>
      <right/>
      <top/>
      <bottom style="thin">
        <color rgb="FFD5D8DC"/>
      </bottom>
      <diagonal/>
    </border>
    <border>
      <left/>
      <right style="thin">
        <color rgb="FFD5D8DC"/>
      </right>
      <top style="thin">
        <color rgb="FFD5D8DC"/>
      </top>
      <bottom style="thin">
        <color rgb="FFD5D8DC"/>
      </bottom>
      <diagonal/>
    </border>
    <border>
      <left style="thin">
        <color rgb="FFD5D8DC"/>
      </left>
      <right style="thin">
        <color rgb="FFD5D8DC"/>
      </right>
      <top style="thin">
        <color rgb="FFD5D8DC"/>
      </top>
      <bottom style="thin">
        <color rgb="FFD5D8DC"/>
      </bottom>
      <diagonal/>
    </border>
    <border>
      <left style="thin">
        <color rgb="FFD5D8DC"/>
      </left>
      <right/>
      <top style="thin">
        <color rgb="FFD5D8DC"/>
      </top>
      <bottom style="thin">
        <color rgb="FFD5D8DC"/>
      </bottom>
      <diagonal/>
    </border>
    <border>
      <left/>
      <right style="thin">
        <color rgb="FFD5D8DC"/>
      </right>
      <top style="thin">
        <color rgb="FFD5D8DC"/>
      </top>
      <bottom style="medium">
        <color rgb="FF1B3A5C"/>
      </bottom>
      <diagonal/>
    </border>
    <border>
      <left style="thin">
        <color rgb="FFD5D8DC"/>
      </left>
      <right style="thin">
        <color rgb="FFD5D8DC"/>
      </right>
      <top style="thin">
        <color rgb="FFD5D8DC"/>
      </top>
      <bottom style="medium">
        <color rgb="FF1B3A5C"/>
      </bottom>
      <diagonal/>
    </border>
    <border>
      <left style="thin">
        <color rgb="FFD5D8DC"/>
      </left>
      <right/>
      <top style="thin">
        <color rgb="FFD5D8DC"/>
      </top>
      <bottom style="medium">
        <color rgb="FF1B3A5C"/>
      </bottom>
      <diagonal/>
    </border>
    <border>
      <left/>
      <right/>
      <top style="thin">
        <color rgb="FFD5D8DC"/>
      </top>
      <bottom style="medium">
        <color rgb="FF1B3A5C"/>
      </bottom>
      <diagonal/>
    </border>
    <border>
      <left/>
      <right style="thin">
        <color rgb="FFE8E8E8"/>
      </right>
      <top/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rgb="FFE8E8E8"/>
      </left>
      <right/>
      <top/>
      <bottom style="thin">
        <color rgb="FFE8E8E8"/>
      </bottom>
      <diagonal/>
    </border>
    <border>
      <left/>
      <right style="thin">
        <color rgb="FFE8E8E8"/>
      </right>
      <top style="thin">
        <color rgb="FFE8E8E8"/>
      </top>
      <bottom style="medium">
        <color rgb="FF0D1B2A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medium">
        <color rgb="FF0D1B2A"/>
      </bottom>
      <diagonal/>
    </border>
    <border>
      <left style="thin">
        <color rgb="FFE8E8E8"/>
      </left>
      <right/>
      <top style="thin">
        <color rgb="FFE8E8E8"/>
      </top>
      <bottom style="medium">
        <color rgb="FF0D1B2A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BDC3C7"/>
      </left>
      <right style="medium">
        <color auto="1"/>
      </right>
      <top style="thin">
        <color rgb="FFBDC3C7"/>
      </top>
      <bottom style="thin">
        <color rgb="FFBDC3C7"/>
      </bottom>
      <diagonal/>
    </border>
    <border>
      <left style="thin">
        <color auto="1"/>
      </left>
      <right style="thin">
        <color rgb="FFBDC3C7"/>
      </right>
      <top style="medium">
        <color rgb="FF0D1B2A"/>
      </top>
      <bottom style="thin">
        <color rgb="FFBDC3C7"/>
      </bottom>
      <diagonal/>
    </border>
    <border>
      <left style="thin">
        <color rgb="FFBDC3C7"/>
      </left>
      <right style="medium">
        <color auto="1"/>
      </right>
      <top style="medium">
        <color rgb="FF0D1B2A"/>
      </top>
      <bottom style="thin">
        <color rgb="FFBDC3C7"/>
      </bottom>
      <diagonal/>
    </border>
    <border>
      <left style="thin">
        <color auto="1"/>
      </left>
      <right style="thin">
        <color rgb="FFBDC3C7"/>
      </right>
      <top style="thin">
        <color rgb="FFBDC3C7"/>
      </top>
      <bottom style="medium">
        <color rgb="FF0D1B2A"/>
      </bottom>
      <diagonal/>
    </border>
    <border>
      <left style="thin">
        <color rgb="FFBDC3C7"/>
      </left>
      <right style="medium">
        <color auto="1"/>
      </right>
      <top style="thin">
        <color rgb="FFBDC3C7"/>
      </top>
      <bottom style="medium">
        <color rgb="FF0D1B2A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4" fillId="3" borderId="0" xfId="0" applyFont="1" applyFill="1"/>
    <xf numFmtId="0" fontId="7" fillId="2" borderId="0" xfId="0" applyFont="1" applyFill="1"/>
    <xf numFmtId="0" fontId="4" fillId="0" borderId="0" xfId="0" applyFont="1"/>
    <xf numFmtId="0" fontId="8" fillId="4" borderId="10" xfId="0" applyFont="1" applyFill="1" applyBorder="1"/>
    <xf numFmtId="0" fontId="9" fillId="5" borderId="11" xfId="0" applyFont="1" applyFill="1" applyBorder="1"/>
    <xf numFmtId="0" fontId="4" fillId="5" borderId="11" xfId="0" applyFont="1" applyFill="1" applyBorder="1"/>
    <xf numFmtId="175" fontId="10" fillId="5" borderId="11" xfId="0" applyNumberFormat="1" applyFont="1" applyFill="1" applyBorder="1"/>
    <xf numFmtId="0" fontId="9" fillId="6" borderId="11" xfId="0" applyFont="1" applyFill="1" applyBorder="1"/>
    <xf numFmtId="176" fontId="9" fillId="6" borderId="11" xfId="0" applyNumberFormat="1" applyFont="1" applyFill="1" applyBorder="1"/>
    <xf numFmtId="0" fontId="4" fillId="6" borderId="11" xfId="0" applyFont="1" applyFill="1" applyBorder="1"/>
    <xf numFmtId="165" fontId="11" fillId="6" borderId="11" xfId="0" applyNumberFormat="1" applyFont="1" applyFill="1" applyBorder="1"/>
    <xf numFmtId="165" fontId="12" fillId="5" borderId="11" xfId="0" applyNumberFormat="1" applyFont="1" applyFill="1" applyBorder="1"/>
    <xf numFmtId="175" fontId="4" fillId="6" borderId="11" xfId="0" applyNumberFormat="1" applyFont="1" applyFill="1" applyBorder="1"/>
    <xf numFmtId="15" fontId="9" fillId="5" borderId="11" xfId="0" applyNumberFormat="1" applyFont="1" applyFill="1" applyBorder="1"/>
    <xf numFmtId="175" fontId="4" fillId="5" borderId="11" xfId="0" applyNumberFormat="1" applyFont="1" applyFill="1" applyBorder="1"/>
    <xf numFmtId="0" fontId="4" fillId="0" borderId="11" xfId="0" applyFont="1" applyBorder="1"/>
    <xf numFmtId="0" fontId="8" fillId="4" borderId="11" xfId="0" applyFont="1" applyFill="1" applyBorder="1"/>
    <xf numFmtId="177" fontId="4" fillId="5" borderId="11" xfId="0" applyNumberFormat="1" applyFont="1" applyFill="1" applyBorder="1"/>
    <xf numFmtId="177" fontId="4" fillId="6" borderId="11" xfId="0" applyNumberFormat="1" applyFont="1" applyFill="1" applyBorder="1"/>
    <xf numFmtId="0" fontId="4" fillId="6" borderId="12" xfId="0" applyFont="1" applyFill="1" applyBorder="1"/>
    <xf numFmtId="3" fontId="4" fillId="6" borderId="12" xfId="0" applyNumberFormat="1" applyFont="1" applyFill="1" applyBorder="1"/>
    <xf numFmtId="0" fontId="9" fillId="6" borderId="12" xfId="0" applyFont="1" applyFill="1" applyBorder="1"/>
    <xf numFmtId="0" fontId="8" fillId="7" borderId="1" xfId="0" applyFont="1" applyFill="1" applyBorder="1"/>
    <xf numFmtId="0" fontId="8" fillId="7" borderId="2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4" fillId="8" borderId="4" xfId="0" applyFont="1" applyFill="1" applyBorder="1"/>
    <xf numFmtId="164" fontId="4" fillId="8" borderId="5" xfId="0" applyNumberFormat="1" applyFont="1" applyFill="1" applyBorder="1"/>
    <xf numFmtId="175" fontId="4" fillId="8" borderId="5" xfId="0" applyNumberFormat="1" applyFont="1" applyFill="1" applyBorder="1"/>
    <xf numFmtId="165" fontId="4" fillId="8" borderId="6" xfId="0" applyNumberFormat="1" applyFont="1" applyFill="1" applyBorder="1"/>
    <xf numFmtId="0" fontId="4" fillId="9" borderId="4" xfId="0" applyFont="1" applyFill="1" applyBorder="1"/>
    <xf numFmtId="164" fontId="4" fillId="9" borderId="5" xfId="0" applyNumberFormat="1" applyFont="1" applyFill="1" applyBorder="1"/>
    <xf numFmtId="175" fontId="4" fillId="9" borderId="5" xfId="0" applyNumberFormat="1" applyFont="1" applyFill="1" applyBorder="1"/>
    <xf numFmtId="165" fontId="4" fillId="9" borderId="6" xfId="0" applyNumberFormat="1" applyFont="1" applyFill="1" applyBorder="1"/>
    <xf numFmtId="0" fontId="4" fillId="10" borderId="4" xfId="0" applyFont="1" applyFill="1" applyBorder="1"/>
    <xf numFmtId="164" fontId="4" fillId="10" borderId="5" xfId="0" applyNumberFormat="1" applyFont="1" applyFill="1" applyBorder="1"/>
    <xf numFmtId="175" fontId="4" fillId="10" borderId="5" xfId="0" applyNumberFormat="1" applyFont="1" applyFill="1" applyBorder="1"/>
    <xf numFmtId="165" fontId="4" fillId="10" borderId="6" xfId="0" applyNumberFormat="1" applyFont="1" applyFill="1" applyBorder="1"/>
    <xf numFmtId="0" fontId="12" fillId="11" borderId="7" xfId="0" applyFont="1" applyFill="1" applyBorder="1"/>
    <xf numFmtId="164" fontId="12" fillId="11" borderId="8" xfId="0" applyNumberFormat="1" applyFont="1" applyFill="1" applyBorder="1"/>
    <xf numFmtId="175" fontId="12" fillId="11" borderId="8" xfId="0" applyNumberFormat="1" applyFont="1" applyFill="1" applyBorder="1"/>
    <xf numFmtId="165" fontId="12" fillId="11" borderId="9" xfId="0" applyNumberFormat="1" applyFont="1" applyFill="1" applyBorder="1"/>
    <xf numFmtId="0" fontId="4" fillId="5" borderId="0" xfId="0" applyFont="1" applyFill="1"/>
    <xf numFmtId="0" fontId="4" fillId="6" borderId="0" xfId="0" applyFont="1" applyFill="1"/>
    <xf numFmtId="0" fontId="12" fillId="6" borderId="0" xfId="0" applyFont="1" applyFill="1"/>
    <xf numFmtId="176" fontId="4" fillId="5" borderId="0" xfId="0" applyNumberFormat="1" applyFont="1" applyFill="1"/>
    <xf numFmtId="165" fontId="4" fillId="5" borderId="0" xfId="0" applyNumberFormat="1" applyFont="1" applyFill="1"/>
    <xf numFmtId="0" fontId="8" fillId="7" borderId="13" xfId="0" applyFont="1" applyFill="1" applyBorder="1"/>
    <xf numFmtId="0" fontId="8" fillId="7" borderId="14" xfId="0" applyFont="1" applyFill="1" applyBorder="1"/>
    <xf numFmtId="0" fontId="8" fillId="7" borderId="15" xfId="0" applyFont="1" applyFill="1" applyBorder="1"/>
    <xf numFmtId="0" fontId="4" fillId="5" borderId="16" xfId="0" applyFont="1" applyFill="1" applyBorder="1"/>
    <xf numFmtId="0" fontId="4" fillId="5" borderId="17" xfId="0" applyFont="1" applyFill="1" applyBorder="1"/>
    <xf numFmtId="0" fontId="4" fillId="5" borderId="18" xfId="0" applyFont="1" applyFill="1" applyBorder="1"/>
    <xf numFmtId="0" fontId="4" fillId="6" borderId="16" xfId="0" applyFont="1" applyFill="1" applyBorder="1"/>
    <xf numFmtId="0" fontId="4" fillId="6" borderId="17" xfId="0" applyFont="1" applyFill="1" applyBorder="1"/>
    <xf numFmtId="0" fontId="4" fillId="6" borderId="18" xfId="0" applyFont="1" applyFill="1" applyBorder="1"/>
    <xf numFmtId="0" fontId="4" fillId="5" borderId="19" xfId="0" applyFont="1" applyFill="1" applyBorder="1"/>
    <xf numFmtId="0" fontId="4" fillId="5" borderId="20" xfId="0" applyFont="1" applyFill="1" applyBorder="1"/>
    <xf numFmtId="0" fontId="4" fillId="5" borderId="21" xfId="0" applyFont="1" applyFill="1" applyBorder="1"/>
    <xf numFmtId="0" fontId="8" fillId="7" borderId="0" xfId="0" applyFont="1" applyFill="1"/>
    <xf numFmtId="0" fontId="13" fillId="5" borderId="0" xfId="0" applyFont="1" applyFill="1"/>
    <xf numFmtId="0" fontId="14" fillId="5" borderId="0" xfId="0" applyFont="1" applyFill="1"/>
    <xf numFmtId="0" fontId="15" fillId="0" borderId="0" xfId="0" applyFont="1"/>
    <xf numFmtId="0" fontId="16" fillId="4" borderId="0" xfId="0" applyFont="1" applyFill="1"/>
    <xf numFmtId="164" fontId="13" fillId="6" borderId="0" xfId="0" applyNumberFormat="1" applyFont="1" applyFill="1"/>
    <xf numFmtId="15" fontId="13" fillId="5" borderId="0" xfId="0" applyNumberFormat="1" applyFont="1" applyFill="1"/>
    <xf numFmtId="0" fontId="13" fillId="6" borderId="0" xfId="0" applyFont="1" applyFill="1"/>
    <xf numFmtId="165" fontId="13" fillId="6" borderId="0" xfId="0" applyNumberFormat="1" applyFont="1" applyFill="1"/>
    <xf numFmtId="165" fontId="13" fillId="5" borderId="0" xfId="0" applyNumberFormat="1" applyFont="1" applyFill="1"/>
    <xf numFmtId="10" fontId="13" fillId="5" borderId="0" xfId="0" applyNumberFormat="1" applyFont="1" applyFill="1"/>
    <xf numFmtId="164" fontId="13" fillId="5" borderId="0" xfId="0" applyNumberFormat="1" applyFont="1" applyFill="1"/>
    <xf numFmtId="10" fontId="4" fillId="5" borderId="0" xfId="0" applyNumberFormat="1" applyFont="1" applyFill="1"/>
    <xf numFmtId="10" fontId="13" fillId="6" borderId="0" xfId="0" applyNumberFormat="1" applyFont="1" applyFill="1"/>
    <xf numFmtId="165" fontId="13" fillId="12" borderId="22" xfId="0" applyNumberFormat="1" applyFont="1" applyFill="1" applyBorder="1"/>
    <xf numFmtId="0" fontId="8" fillId="7" borderId="25" xfId="0" applyFont="1" applyFill="1" applyBorder="1"/>
    <xf numFmtId="0" fontId="8" fillId="7" borderId="26" xfId="0" applyFont="1" applyFill="1" applyBorder="1" applyAlignment="1">
      <alignment horizontal="center" wrapText="1"/>
    </xf>
    <xf numFmtId="0" fontId="8" fillId="7" borderId="27" xfId="0" applyFont="1" applyFill="1" applyBorder="1" applyAlignment="1">
      <alignment horizontal="center" wrapText="1"/>
    </xf>
    <xf numFmtId="0" fontId="4" fillId="5" borderId="28" xfId="0" applyFont="1" applyFill="1" applyBorder="1"/>
    <xf numFmtId="164" fontId="13" fillId="5" borderId="29" xfId="0" applyNumberFormat="1" applyFont="1" applyFill="1" applyBorder="1"/>
    <xf numFmtId="0" fontId="4" fillId="5" borderId="30" xfId="0" applyFont="1" applyFill="1" applyBorder="1"/>
    <xf numFmtId="0" fontId="4" fillId="6" borderId="28" xfId="0" applyFont="1" applyFill="1" applyBorder="1"/>
    <xf numFmtId="0" fontId="13" fillId="6" borderId="29" xfId="0" applyFont="1" applyFill="1" applyBorder="1"/>
    <xf numFmtId="0" fontId="4" fillId="6" borderId="30" xfId="0" applyFont="1" applyFill="1" applyBorder="1"/>
    <xf numFmtId="165" fontId="13" fillId="6" borderId="29" xfId="0" applyNumberFormat="1" applyFont="1" applyFill="1" applyBorder="1"/>
    <xf numFmtId="165" fontId="13" fillId="5" borderId="29" xfId="0" applyNumberFormat="1" applyFont="1" applyFill="1" applyBorder="1"/>
    <xf numFmtId="166" fontId="13" fillId="6" borderId="29" xfId="0" applyNumberFormat="1" applyFont="1" applyFill="1" applyBorder="1"/>
    <xf numFmtId="164" fontId="13" fillId="6" borderId="29" xfId="0" applyNumberFormat="1" applyFont="1" applyFill="1" applyBorder="1"/>
    <xf numFmtId="0" fontId="4" fillId="6" borderId="29" xfId="0" applyFont="1" applyFill="1" applyBorder="1"/>
    <xf numFmtId="0" fontId="4" fillId="5" borderId="29" xfId="0" applyFont="1" applyFill="1" applyBorder="1"/>
    <xf numFmtId="0" fontId="4" fillId="5" borderId="31" xfId="0" applyFont="1" applyFill="1" applyBorder="1"/>
    <xf numFmtId="165" fontId="13" fillId="5" borderId="32" xfId="0" applyNumberFormat="1" applyFont="1" applyFill="1" applyBorder="1"/>
    <xf numFmtId="0" fontId="4" fillId="5" borderId="33" xfId="0" applyFont="1" applyFill="1" applyBorder="1"/>
    <xf numFmtId="0" fontId="8" fillId="7" borderId="0" xfId="0" applyFont="1" applyFill="1" applyAlignment="1">
      <alignment horizontal="center"/>
    </xf>
    <xf numFmtId="2" fontId="13" fillId="6" borderId="0" xfId="0" applyNumberFormat="1" applyFont="1" applyFill="1"/>
    <xf numFmtId="4" fontId="4" fillId="5" borderId="0" xfId="0" applyNumberFormat="1" applyFont="1" applyFill="1"/>
    <xf numFmtId="4" fontId="4" fillId="6" borderId="0" xfId="0" applyNumberFormat="1" applyFont="1" applyFill="1"/>
    <xf numFmtId="167" fontId="4" fillId="5" borderId="0" xfId="0" applyNumberFormat="1" applyFont="1" applyFill="1"/>
    <xf numFmtId="4" fontId="12" fillId="6" borderId="0" xfId="0" applyNumberFormat="1" applyFont="1" applyFill="1"/>
    <xf numFmtId="3" fontId="4" fillId="5" borderId="0" xfId="0" applyNumberFormat="1" applyFont="1" applyFill="1"/>
    <xf numFmtId="3" fontId="4" fillId="6" borderId="0" xfId="0" applyNumberFormat="1" applyFont="1" applyFill="1"/>
    <xf numFmtId="0" fontId="8" fillId="2" borderId="0" xfId="0" applyFont="1" applyFill="1"/>
    <xf numFmtId="0" fontId="8" fillId="7" borderId="23" xfId="0" applyFont="1" applyFill="1" applyBorder="1"/>
    <xf numFmtId="0" fontId="8" fillId="7" borderId="23" xfId="0" applyFont="1" applyFill="1" applyBorder="1" applyAlignment="1">
      <alignment horizontal="center"/>
    </xf>
    <xf numFmtId="0" fontId="12" fillId="5" borderId="24" xfId="0" applyFont="1" applyFill="1" applyBorder="1"/>
    <xf numFmtId="168" fontId="12" fillId="5" borderId="24" xfId="0" applyNumberFormat="1" applyFont="1" applyFill="1" applyBorder="1"/>
    <xf numFmtId="165" fontId="12" fillId="5" borderId="24" xfId="0" applyNumberFormat="1" applyFont="1" applyFill="1" applyBorder="1"/>
    <xf numFmtId="0" fontId="4" fillId="6" borderId="24" xfId="0" applyFont="1" applyFill="1" applyBorder="1"/>
    <xf numFmtId="169" fontId="4" fillId="6" borderId="24" xfId="0" applyNumberFormat="1" applyFont="1" applyFill="1" applyBorder="1"/>
    <xf numFmtId="165" fontId="4" fillId="6" borderId="24" xfId="0" applyNumberFormat="1" applyFont="1" applyFill="1" applyBorder="1"/>
    <xf numFmtId="0" fontId="12" fillId="9" borderId="24" xfId="0" applyFont="1" applyFill="1" applyBorder="1"/>
    <xf numFmtId="168" fontId="12" fillId="9" borderId="24" xfId="0" applyNumberFormat="1" applyFont="1" applyFill="1" applyBorder="1"/>
    <xf numFmtId="165" fontId="12" fillId="9" borderId="24" xfId="0" applyNumberFormat="1" applyFont="1" applyFill="1" applyBorder="1"/>
    <xf numFmtId="0" fontId="4" fillId="0" borderId="24" xfId="0" applyFont="1" applyBorder="1"/>
    <xf numFmtId="0" fontId="8" fillId="7" borderId="24" xfId="0" applyFont="1" applyFill="1" applyBorder="1"/>
    <xf numFmtId="168" fontId="17" fillId="6" borderId="24" xfId="0" applyNumberFormat="1" applyFont="1" applyFill="1" applyBorder="1"/>
    <xf numFmtId="0" fontId="4" fillId="5" borderId="24" xfId="0" applyFont="1" applyFill="1" applyBorder="1"/>
    <xf numFmtId="168" fontId="4" fillId="5" borderId="24" xfId="0" applyNumberFormat="1" applyFont="1" applyFill="1" applyBorder="1"/>
    <xf numFmtId="165" fontId="4" fillId="5" borderId="24" xfId="0" applyNumberFormat="1" applyFont="1" applyFill="1" applyBorder="1"/>
    <xf numFmtId="170" fontId="4" fillId="5" borderId="24" xfId="0" applyNumberFormat="1" applyFont="1" applyFill="1" applyBorder="1"/>
    <xf numFmtId="10" fontId="4" fillId="5" borderId="24" xfId="0" applyNumberFormat="1" applyFont="1" applyFill="1" applyBorder="1"/>
    <xf numFmtId="170" fontId="4" fillId="6" borderId="24" xfId="0" applyNumberFormat="1" applyFont="1" applyFill="1" applyBorder="1"/>
    <xf numFmtId="10" fontId="4" fillId="6" borderId="24" xfId="0" applyNumberFormat="1" applyFont="1" applyFill="1" applyBorder="1"/>
    <xf numFmtId="0" fontId="12" fillId="8" borderId="34" xfId="0" applyFont="1" applyFill="1" applyBorder="1"/>
    <xf numFmtId="170" fontId="12" fillId="8" borderId="34" xfId="0" applyNumberFormat="1" applyFont="1" applyFill="1" applyBorder="1"/>
    <xf numFmtId="10" fontId="12" fillId="8" borderId="34" xfId="0" applyNumberFormat="1" applyFont="1" applyFill="1" applyBorder="1"/>
    <xf numFmtId="0" fontId="16" fillId="4" borderId="23" xfId="0" applyFont="1" applyFill="1" applyBorder="1"/>
    <xf numFmtId="164" fontId="4" fillId="6" borderId="24" xfId="0" applyNumberFormat="1" applyFont="1" applyFill="1" applyBorder="1"/>
    <xf numFmtId="3" fontId="4" fillId="5" borderId="24" xfId="0" applyNumberFormat="1" applyFont="1" applyFill="1" applyBorder="1"/>
    <xf numFmtId="171" fontId="4" fillId="6" borderId="24" xfId="0" applyNumberFormat="1" applyFont="1" applyFill="1" applyBorder="1"/>
    <xf numFmtId="0" fontId="4" fillId="5" borderId="34" xfId="0" applyFont="1" applyFill="1" applyBorder="1"/>
    <xf numFmtId="3" fontId="4" fillId="5" borderId="34" xfId="0" applyNumberFormat="1" applyFont="1" applyFill="1" applyBorder="1"/>
    <xf numFmtId="0" fontId="18" fillId="2" borderId="35" xfId="0" applyFont="1" applyFill="1" applyBorder="1" applyAlignment="1">
      <alignment horizontal="center"/>
    </xf>
    <xf numFmtId="0" fontId="18" fillId="2" borderId="36" xfId="0" applyFont="1" applyFill="1" applyBorder="1" applyAlignment="1">
      <alignment horizontal="center" wrapText="1"/>
    </xf>
    <xf numFmtId="0" fontId="18" fillId="2" borderId="37" xfId="0" applyFont="1" applyFill="1" applyBorder="1" applyAlignment="1">
      <alignment horizontal="center" wrapText="1"/>
    </xf>
    <xf numFmtId="0" fontId="19" fillId="13" borderId="16" xfId="0" applyFont="1" applyFill="1" applyBorder="1" applyAlignment="1">
      <alignment horizontal="center"/>
    </xf>
    <xf numFmtId="164" fontId="19" fillId="13" borderId="17" xfId="0" applyNumberFormat="1" applyFont="1" applyFill="1" applyBorder="1"/>
    <xf numFmtId="168" fontId="19" fillId="13" borderId="18" xfId="0" applyNumberFormat="1" applyFont="1" applyFill="1" applyBorder="1"/>
    <xf numFmtId="0" fontId="20" fillId="6" borderId="16" xfId="0" applyFont="1" applyFill="1" applyBorder="1" applyAlignment="1">
      <alignment horizontal="center"/>
    </xf>
    <xf numFmtId="164" fontId="20" fillId="6" borderId="17" xfId="0" applyNumberFormat="1" applyFont="1" applyFill="1" applyBorder="1"/>
    <xf numFmtId="168" fontId="20" fillId="6" borderId="18" xfId="0" applyNumberFormat="1" applyFont="1" applyFill="1" applyBorder="1"/>
    <xf numFmtId="0" fontId="20" fillId="5" borderId="16" xfId="0" applyFont="1" applyFill="1" applyBorder="1" applyAlignment="1">
      <alignment horizontal="center"/>
    </xf>
    <xf numFmtId="164" fontId="20" fillId="5" borderId="17" xfId="0" applyNumberFormat="1" applyFont="1" applyFill="1" applyBorder="1"/>
    <xf numFmtId="168" fontId="20" fillId="5" borderId="18" xfId="0" applyNumberFormat="1" applyFont="1" applyFill="1" applyBorder="1"/>
    <xf numFmtId="0" fontId="19" fillId="9" borderId="38" xfId="0" applyFont="1" applyFill="1" applyBorder="1" applyAlignment="1">
      <alignment horizontal="center"/>
    </xf>
    <xf numFmtId="164" fontId="19" fillId="9" borderId="39" xfId="0" applyNumberFormat="1" applyFont="1" applyFill="1" applyBorder="1"/>
    <xf numFmtId="168" fontId="19" fillId="9" borderId="40" xfId="0" applyNumberFormat="1" applyFont="1" applyFill="1" applyBorder="1"/>
    <xf numFmtId="164" fontId="4" fillId="5" borderId="24" xfId="0" applyNumberFormat="1" applyFont="1" applyFill="1" applyBorder="1"/>
    <xf numFmtId="0" fontId="12" fillId="6" borderId="34" xfId="0" applyFont="1" applyFill="1" applyBorder="1"/>
    <xf numFmtId="0" fontId="4" fillId="6" borderId="34" xfId="0" applyFont="1" applyFill="1" applyBorder="1"/>
    <xf numFmtId="0" fontId="21" fillId="0" borderId="0" xfId="0" applyFont="1"/>
    <xf numFmtId="0" fontId="16" fillId="2" borderId="0" xfId="0" applyFont="1" applyFill="1"/>
    <xf numFmtId="0" fontId="18" fillId="7" borderId="35" xfId="0" applyFont="1" applyFill="1" applyBorder="1" applyAlignment="1">
      <alignment horizontal="center"/>
    </xf>
    <xf numFmtId="0" fontId="18" fillId="7" borderId="36" xfId="0" applyFont="1" applyFill="1" applyBorder="1" applyAlignment="1">
      <alignment horizontal="center"/>
    </xf>
    <xf numFmtId="0" fontId="18" fillId="7" borderId="36" xfId="0" applyFont="1" applyFill="1" applyBorder="1" applyAlignment="1">
      <alignment horizontal="center" wrapText="1"/>
    </xf>
    <xf numFmtId="0" fontId="18" fillId="7" borderId="37" xfId="0" applyFont="1" applyFill="1" applyBorder="1" applyAlignment="1">
      <alignment horizontal="center"/>
    </xf>
    <xf numFmtId="1" fontId="20" fillId="5" borderId="16" xfId="0" applyNumberFormat="1" applyFont="1" applyFill="1" applyBorder="1"/>
    <xf numFmtId="172" fontId="22" fillId="5" borderId="17" xfId="0" applyNumberFormat="1" applyFont="1" applyFill="1" applyBorder="1"/>
    <xf numFmtId="166" fontId="20" fillId="5" borderId="17" xfId="0" applyNumberFormat="1" applyFont="1" applyFill="1" applyBorder="1"/>
    <xf numFmtId="172" fontId="20" fillId="5" borderId="17" xfId="0" applyNumberFormat="1" applyFont="1" applyFill="1" applyBorder="1"/>
    <xf numFmtId="165" fontId="20" fillId="5" borderId="17" xfId="0" applyNumberFormat="1" applyFont="1" applyFill="1" applyBorder="1"/>
    <xf numFmtId="172" fontId="22" fillId="5" borderId="18" xfId="0" applyNumberFormat="1" applyFont="1" applyFill="1" applyBorder="1"/>
    <xf numFmtId="1" fontId="20" fillId="6" borderId="16" xfId="0" applyNumberFormat="1" applyFont="1" applyFill="1" applyBorder="1"/>
    <xf numFmtId="172" fontId="20" fillId="6" borderId="17" xfId="0" applyNumberFormat="1" applyFont="1" applyFill="1" applyBorder="1"/>
    <xf numFmtId="166" fontId="20" fillId="6" borderId="17" xfId="0" applyNumberFormat="1" applyFont="1" applyFill="1" applyBorder="1"/>
    <xf numFmtId="165" fontId="20" fillId="6" borderId="17" xfId="0" applyNumberFormat="1" applyFont="1" applyFill="1" applyBorder="1"/>
    <xf numFmtId="172" fontId="20" fillId="6" borderId="18" xfId="0" applyNumberFormat="1" applyFont="1" applyFill="1" applyBorder="1"/>
    <xf numFmtId="172" fontId="20" fillId="5" borderId="18" xfId="0" applyNumberFormat="1" applyFont="1" applyFill="1" applyBorder="1"/>
    <xf numFmtId="1" fontId="20" fillId="5" borderId="38" xfId="0" applyNumberFormat="1" applyFont="1" applyFill="1" applyBorder="1"/>
    <xf numFmtId="172" fontId="20" fillId="5" borderId="39" xfId="0" applyNumberFormat="1" applyFont="1" applyFill="1" applyBorder="1"/>
    <xf numFmtId="166" fontId="20" fillId="5" borderId="39" xfId="0" applyNumberFormat="1" applyFont="1" applyFill="1" applyBorder="1"/>
    <xf numFmtId="165" fontId="20" fillId="5" borderId="39" xfId="0" applyNumberFormat="1" applyFont="1" applyFill="1" applyBorder="1"/>
    <xf numFmtId="172" fontId="20" fillId="5" borderId="40" xfId="0" applyNumberFormat="1" applyFont="1" applyFill="1" applyBorder="1"/>
    <xf numFmtId="0" fontId="8" fillId="4" borderId="0" xfId="0" applyFont="1" applyFill="1"/>
    <xf numFmtId="0" fontId="12" fillId="9" borderId="0" xfId="0" applyFont="1" applyFill="1"/>
    <xf numFmtId="172" fontId="12" fillId="9" borderId="0" xfId="0" applyNumberFormat="1" applyFont="1" applyFill="1"/>
    <xf numFmtId="166" fontId="12" fillId="9" borderId="0" xfId="0" applyNumberFormat="1" applyFont="1" applyFill="1"/>
    <xf numFmtId="164" fontId="12" fillId="9" borderId="0" xfId="0" applyNumberFormat="1" applyFont="1" applyFill="1"/>
    <xf numFmtId="173" fontId="12" fillId="9" borderId="0" xfId="0" applyNumberFormat="1" applyFont="1" applyFill="1"/>
    <xf numFmtId="165" fontId="12" fillId="9" borderId="0" xfId="0" applyNumberFormat="1" applyFont="1" applyFill="1"/>
    <xf numFmtId="0" fontId="12" fillId="12" borderId="0" xfId="0" applyFont="1" applyFill="1"/>
    <xf numFmtId="164" fontId="12" fillId="12" borderId="0" xfId="0" applyNumberFormat="1" applyFont="1" applyFill="1"/>
    <xf numFmtId="165" fontId="12" fillId="12" borderId="0" xfId="0" applyNumberFormat="1" applyFont="1" applyFill="1"/>
    <xf numFmtId="0" fontId="4" fillId="9" borderId="29" xfId="0" applyFont="1" applyFill="1" applyBorder="1"/>
    <xf numFmtId="10" fontId="4" fillId="5" borderId="29" xfId="0" applyNumberFormat="1" applyFont="1" applyFill="1" applyBorder="1"/>
    <xf numFmtId="10" fontId="12" fillId="9" borderId="29" xfId="0" applyNumberFormat="1" applyFont="1" applyFill="1" applyBorder="1"/>
    <xf numFmtId="9" fontId="4" fillId="6" borderId="29" xfId="0" applyNumberFormat="1" applyFont="1" applyFill="1" applyBorder="1"/>
    <xf numFmtId="9" fontId="4" fillId="9" borderId="29" xfId="0" applyNumberFormat="1" applyFont="1" applyFill="1" applyBorder="1"/>
    <xf numFmtId="0" fontId="12" fillId="9" borderId="29" xfId="0" applyFont="1" applyFill="1" applyBorder="1"/>
    <xf numFmtId="0" fontId="12" fillId="5" borderId="31" xfId="0" applyFont="1" applyFill="1" applyBorder="1"/>
    <xf numFmtId="0" fontId="12" fillId="5" borderId="32" xfId="0" applyFont="1" applyFill="1" applyBorder="1"/>
    <xf numFmtId="0" fontId="23" fillId="5" borderId="32" xfId="0" applyFont="1" applyFill="1" applyBorder="1"/>
    <xf numFmtId="0" fontId="24" fillId="9" borderId="32" xfId="0" applyFont="1" applyFill="1" applyBorder="1"/>
    <xf numFmtId="0" fontId="12" fillId="5" borderId="33" xfId="0" applyFont="1" applyFill="1" applyBorder="1"/>
    <xf numFmtId="0" fontId="25" fillId="2" borderId="35" xfId="0" applyFont="1" applyFill="1" applyBorder="1" applyAlignment="1">
      <alignment horizontal="center"/>
    </xf>
    <xf numFmtId="0" fontId="25" fillId="2" borderId="36" xfId="0" applyFont="1" applyFill="1" applyBorder="1" applyAlignment="1">
      <alignment horizontal="center" wrapText="1"/>
    </xf>
    <xf numFmtId="0" fontId="25" fillId="2" borderId="37" xfId="0" applyFont="1" applyFill="1" applyBorder="1" applyAlignment="1">
      <alignment horizontal="center" wrapText="1"/>
    </xf>
    <xf numFmtId="168" fontId="19" fillId="13" borderId="17" xfId="0" applyNumberFormat="1" applyFont="1" applyFill="1" applyBorder="1"/>
    <xf numFmtId="0" fontId="19" fillId="13" borderId="17" xfId="0" applyFont="1" applyFill="1" applyBorder="1" applyAlignment="1">
      <alignment horizontal="center"/>
    </xf>
    <xf numFmtId="174" fontId="19" fillId="13" borderId="17" xfId="0" applyNumberFormat="1" applyFont="1" applyFill="1" applyBorder="1"/>
    <xf numFmtId="175" fontId="19" fillId="13" borderId="18" xfId="0" applyNumberFormat="1" applyFont="1" applyFill="1" applyBorder="1"/>
    <xf numFmtId="168" fontId="20" fillId="6" borderId="17" xfId="0" applyNumberFormat="1" applyFont="1" applyFill="1" applyBorder="1"/>
    <xf numFmtId="165" fontId="20" fillId="6" borderId="17" xfId="0" applyNumberFormat="1" applyFont="1" applyFill="1" applyBorder="1" applyAlignment="1">
      <alignment horizontal="center"/>
    </xf>
    <xf numFmtId="174" fontId="20" fillId="6" borderId="17" xfId="0" applyNumberFormat="1" applyFont="1" applyFill="1" applyBorder="1"/>
    <xf numFmtId="175" fontId="26" fillId="6" borderId="18" xfId="0" applyNumberFormat="1" applyFont="1" applyFill="1" applyBorder="1"/>
    <xf numFmtId="168" fontId="20" fillId="5" borderId="17" xfId="0" applyNumberFormat="1" applyFont="1" applyFill="1" applyBorder="1"/>
    <xf numFmtId="165" fontId="20" fillId="5" borderId="17" xfId="0" applyNumberFormat="1" applyFont="1" applyFill="1" applyBorder="1" applyAlignment="1">
      <alignment horizontal="center"/>
    </xf>
    <xf numFmtId="174" fontId="20" fillId="5" borderId="17" xfId="0" applyNumberFormat="1" applyFont="1" applyFill="1" applyBorder="1"/>
    <xf numFmtId="175" fontId="26" fillId="5" borderId="18" xfId="0" applyNumberFormat="1" applyFont="1" applyFill="1" applyBorder="1"/>
    <xf numFmtId="168" fontId="19" fillId="9" borderId="39" xfId="0" applyNumberFormat="1" applyFont="1" applyFill="1" applyBorder="1"/>
    <xf numFmtId="165" fontId="19" fillId="9" borderId="39" xfId="0" applyNumberFormat="1" applyFont="1" applyFill="1" applyBorder="1" applyAlignment="1">
      <alignment horizontal="center"/>
    </xf>
    <xf numFmtId="174" fontId="19" fillId="9" borderId="39" xfId="0" applyNumberFormat="1" applyFont="1" applyFill="1" applyBorder="1"/>
    <xf numFmtId="175" fontId="26" fillId="9" borderId="40" xfId="0" applyNumberFormat="1" applyFont="1" applyFill="1" applyBorder="1"/>
    <xf numFmtId="168" fontId="27" fillId="0" borderId="0" xfId="0" applyNumberFormat="1" applyFont="1"/>
    <xf numFmtId="0" fontId="28" fillId="5" borderId="0" xfId="0" applyFont="1" applyFill="1"/>
    <xf numFmtId="168" fontId="4" fillId="6" borderId="0" xfId="0" applyNumberFormat="1" applyFont="1" applyFill="1"/>
    <xf numFmtId="168" fontId="4" fillId="5" borderId="0" xfId="0" applyNumberFormat="1" applyFont="1" applyFill="1"/>
    <xf numFmtId="168" fontId="11" fillId="9" borderId="0" xfId="0" applyNumberFormat="1" applyFont="1" applyFill="1"/>
    <xf numFmtId="0" fontId="28" fillId="0" borderId="0" xfId="0" applyFont="1"/>
    <xf numFmtId="175" fontId="29" fillId="0" borderId="0" xfId="0" applyNumberFormat="1" applyFont="1"/>
    <xf numFmtId="165" fontId="29" fillId="0" borderId="0" xfId="0" applyNumberFormat="1" applyFont="1"/>
    <xf numFmtId="165" fontId="30" fillId="12" borderId="0" xfId="0" applyNumberFormat="1" applyFont="1" applyFill="1"/>
    <xf numFmtId="0" fontId="8" fillId="14" borderId="26" xfId="0" applyFont="1" applyFill="1" applyBorder="1" applyAlignment="1">
      <alignment horizontal="center"/>
    </xf>
    <xf numFmtId="0" fontId="8" fillId="15" borderId="26" xfId="0" applyFont="1" applyFill="1" applyBorder="1" applyAlignment="1">
      <alignment horizontal="center"/>
    </xf>
    <xf numFmtId="0" fontId="8" fillId="16" borderId="26" xfId="0" applyFont="1" applyFill="1" applyBorder="1" applyAlignment="1">
      <alignment horizontal="center"/>
    </xf>
    <xf numFmtId="9" fontId="4" fillId="0" borderId="29" xfId="0" applyNumberFormat="1" applyFont="1" applyBorder="1"/>
    <xf numFmtId="9" fontId="4" fillId="0" borderId="30" xfId="0" applyNumberFormat="1" applyFont="1" applyBorder="1"/>
    <xf numFmtId="165" fontId="4" fillId="0" borderId="29" xfId="0" applyNumberFormat="1" applyFont="1" applyBorder="1"/>
    <xf numFmtId="0" fontId="4" fillId="0" borderId="30" xfId="0" applyFont="1" applyBorder="1"/>
    <xf numFmtId="0" fontId="4" fillId="0" borderId="29" xfId="0" applyFont="1" applyBorder="1"/>
    <xf numFmtId="164" fontId="4" fillId="0" borderId="29" xfId="0" applyNumberFormat="1" applyFont="1" applyBorder="1"/>
    <xf numFmtId="168" fontId="4" fillId="0" borderId="29" xfId="0" applyNumberFormat="1" applyFont="1" applyBorder="1"/>
    <xf numFmtId="0" fontId="31" fillId="5" borderId="28" xfId="0" applyFont="1" applyFill="1" applyBorder="1"/>
    <xf numFmtId="168" fontId="31" fillId="0" borderId="29" xfId="0" applyNumberFormat="1" applyFont="1" applyBorder="1"/>
    <xf numFmtId="168" fontId="31" fillId="12" borderId="30" xfId="0" applyNumberFormat="1" applyFont="1" applyFill="1" applyBorder="1"/>
    <xf numFmtId="0" fontId="12" fillId="6" borderId="28" xfId="0" applyFont="1" applyFill="1" applyBorder="1"/>
    <xf numFmtId="175" fontId="12" fillId="0" borderId="29" xfId="0" applyNumberFormat="1" applyFont="1" applyBorder="1"/>
    <xf numFmtId="175" fontId="12" fillId="12" borderId="30" xfId="0" applyNumberFormat="1" applyFont="1" applyFill="1" applyBorder="1"/>
    <xf numFmtId="0" fontId="12" fillId="5" borderId="28" xfId="0" applyFont="1" applyFill="1" applyBorder="1"/>
    <xf numFmtId="165" fontId="12" fillId="0" borderId="29" xfId="0" applyNumberFormat="1" applyFont="1" applyBorder="1"/>
    <xf numFmtId="165" fontId="12" fillId="12" borderId="30" xfId="0" applyNumberFormat="1" applyFont="1" applyFill="1" applyBorder="1"/>
    <xf numFmtId="0" fontId="31" fillId="6" borderId="28" xfId="0" applyFont="1" applyFill="1" applyBorder="1"/>
    <xf numFmtId="165" fontId="31" fillId="0" borderId="29" xfId="0" applyNumberFormat="1" applyFont="1" applyBorder="1"/>
    <xf numFmtId="165" fontId="31" fillId="12" borderId="30" xfId="0" applyNumberFormat="1" applyFont="1" applyFill="1" applyBorder="1"/>
    <xf numFmtId="169" fontId="12" fillId="0" borderId="32" xfId="0" applyNumberFormat="1" applyFont="1" applyBorder="1"/>
    <xf numFmtId="169" fontId="12" fillId="12" borderId="33" xfId="0" applyNumberFormat="1" applyFont="1" applyFill="1" applyBorder="1"/>
    <xf numFmtId="0" fontId="8" fillId="7" borderId="41" xfId="0" applyFont="1" applyFill="1" applyBorder="1"/>
    <xf numFmtId="9" fontId="8" fillId="7" borderId="46" xfId="0" applyNumberFormat="1" applyFont="1" applyFill="1" applyBorder="1" applyAlignment="1">
      <alignment horizontal="center"/>
    </xf>
    <xf numFmtId="9" fontId="8" fillId="7" borderId="2" xfId="0" applyNumberFormat="1" applyFont="1" applyFill="1" applyBorder="1" applyAlignment="1">
      <alignment horizontal="center"/>
    </xf>
    <xf numFmtId="9" fontId="8" fillId="7" borderId="47" xfId="0" applyNumberFormat="1" applyFont="1" applyFill="1" applyBorder="1" applyAlignment="1">
      <alignment horizontal="center"/>
    </xf>
    <xf numFmtId="9" fontId="8" fillId="7" borderId="42" xfId="0" applyNumberFormat="1" applyFont="1" applyFill="1" applyBorder="1" applyAlignment="1">
      <alignment horizontal="center"/>
    </xf>
    <xf numFmtId="175" fontId="4" fillId="8" borderId="44" xfId="0" applyNumberFormat="1" applyFont="1" applyFill="1" applyBorder="1" applyAlignment="1">
      <alignment horizontal="center"/>
    </xf>
    <xf numFmtId="175" fontId="4" fillId="8" borderId="5" xfId="0" applyNumberFormat="1" applyFont="1" applyFill="1" applyBorder="1" applyAlignment="1">
      <alignment horizontal="center"/>
    </xf>
    <xf numFmtId="175" fontId="4" fillId="17" borderId="5" xfId="0" applyNumberFormat="1" applyFont="1" applyFill="1" applyBorder="1" applyAlignment="1">
      <alignment horizontal="center"/>
    </xf>
    <xf numFmtId="175" fontId="4" fillId="9" borderId="45" xfId="0" applyNumberFormat="1" applyFont="1" applyFill="1" applyBorder="1" applyAlignment="1">
      <alignment horizontal="center"/>
    </xf>
    <xf numFmtId="175" fontId="4" fillId="17" borderId="44" xfId="0" applyNumberFormat="1" applyFont="1" applyFill="1" applyBorder="1" applyAlignment="1">
      <alignment horizontal="center"/>
    </xf>
    <xf numFmtId="175" fontId="12" fillId="11" borderId="5" xfId="0" applyNumberFormat="1" applyFont="1" applyFill="1" applyBorder="1" applyAlignment="1">
      <alignment horizontal="center"/>
    </xf>
    <xf numFmtId="175" fontId="4" fillId="9" borderId="5" xfId="0" applyNumberFormat="1" applyFont="1" applyFill="1" applyBorder="1" applyAlignment="1">
      <alignment horizontal="center"/>
    </xf>
    <xf numFmtId="175" fontId="4" fillId="18" borderId="45" xfId="0" applyNumberFormat="1" applyFont="1" applyFill="1" applyBorder="1" applyAlignment="1">
      <alignment horizontal="center"/>
    </xf>
    <xf numFmtId="175" fontId="4" fillId="9" borderId="44" xfId="0" applyNumberFormat="1" applyFont="1" applyFill="1" applyBorder="1" applyAlignment="1">
      <alignment horizontal="center"/>
    </xf>
    <xf numFmtId="175" fontId="4" fillId="18" borderId="44" xfId="0" applyNumberFormat="1" applyFont="1" applyFill="1" applyBorder="1" applyAlignment="1">
      <alignment horizontal="center"/>
    </xf>
    <xf numFmtId="175" fontId="4" fillId="18" borderId="5" xfId="0" applyNumberFormat="1" applyFont="1" applyFill="1" applyBorder="1" applyAlignment="1">
      <alignment horizontal="center"/>
    </xf>
    <xf numFmtId="175" fontId="4" fillId="19" borderId="45" xfId="0" applyNumberFormat="1" applyFont="1" applyFill="1" applyBorder="1" applyAlignment="1">
      <alignment horizontal="center"/>
    </xf>
    <xf numFmtId="9" fontId="8" fillId="7" borderId="43" xfId="0" applyNumberFormat="1" applyFont="1" applyFill="1" applyBorder="1" applyAlignment="1">
      <alignment horizontal="center"/>
    </xf>
    <xf numFmtId="175" fontId="4" fillId="19" borderId="48" xfId="0" applyNumberFormat="1" applyFont="1" applyFill="1" applyBorder="1" applyAlignment="1">
      <alignment horizontal="center"/>
    </xf>
    <xf numFmtId="175" fontId="4" fillId="19" borderId="8" xfId="0" applyNumberFormat="1" applyFont="1" applyFill="1" applyBorder="1" applyAlignment="1">
      <alignment horizontal="center"/>
    </xf>
    <xf numFmtId="175" fontId="4" fillId="19" borderId="49" xfId="0" applyNumberFormat="1" applyFont="1" applyFill="1" applyBorder="1" applyAlignment="1">
      <alignment horizontal="center"/>
    </xf>
    <xf numFmtId="0" fontId="4" fillId="5" borderId="24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/>
    </xf>
    <xf numFmtId="168" fontId="4" fillId="6" borderId="24" xfId="0" applyNumberFormat="1" applyFont="1" applyFill="1" applyBorder="1"/>
    <xf numFmtId="0" fontId="12" fillId="9" borderId="34" xfId="0" applyFont="1" applyFill="1" applyBorder="1" applyAlignment="1">
      <alignment horizontal="center"/>
    </xf>
    <xf numFmtId="168" fontId="12" fillId="9" borderId="34" xfId="0" applyNumberFormat="1" applyFont="1" applyFill="1" applyBorder="1"/>
    <xf numFmtId="165" fontId="12" fillId="9" borderId="34" xfId="0" applyNumberFormat="1" applyFont="1" applyFill="1" applyBorder="1"/>
    <xf numFmtId="0" fontId="32" fillId="0" borderId="0" xfId="0" applyFont="1"/>
    <xf numFmtId="0" fontId="33" fillId="0" borderId="0" xfId="0" applyFont="1"/>
    <xf numFmtId="0" fontId="8" fillId="7" borderId="25" xfId="0" applyFont="1" applyFill="1" applyBorder="1" applyAlignment="1">
      <alignment horizontal="center"/>
    </xf>
    <xf numFmtId="0" fontId="8" fillId="7" borderId="26" xfId="0" applyFont="1" applyFill="1" applyBorder="1"/>
    <xf numFmtId="0" fontId="8" fillId="7" borderId="26" xfId="0" applyFont="1" applyFill="1" applyBorder="1" applyAlignment="1">
      <alignment horizontal="center"/>
    </xf>
    <xf numFmtId="0" fontId="8" fillId="7" borderId="27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8" fillId="20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4" fillId="6" borderId="29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8" fillId="21" borderId="29" xfId="0" applyFont="1" applyFill="1" applyBorder="1" applyAlignment="1">
      <alignment horizontal="center"/>
    </xf>
    <xf numFmtId="0" fontId="12" fillId="22" borderId="29" xfId="0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4" fillId="6" borderId="32" xfId="0" applyFont="1" applyFill="1" applyBorder="1"/>
    <xf numFmtId="0" fontId="4" fillId="6" borderId="32" xfId="0" applyFont="1" applyFill="1" applyBorder="1" applyAlignment="1">
      <alignment horizontal="center"/>
    </xf>
    <xf numFmtId="0" fontId="8" fillId="21" borderId="32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0D1B2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Railway FCF Model - 25 Year Projection ($mm)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D1B2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'IMEC Options'!$A$5</c:f>
              <c:strCache>
                <c:ptCount val="1"/>
                <c:pt idx="0">
                  <c:v>Year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'IMEC Options'!$A$6:$A$30</c:f>
              <c:numCache>
                <c:formatCode>0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0D-C04D-834B-BA3B81606AE1}"/>
            </c:ext>
          </c:extLst>
        </c:ser>
        <c:ser>
          <c:idx val="1"/>
          <c:order val="1"/>
          <c:tx>
            <c:strRef>
              <c:f>'IMEC Options'!$B$5</c:f>
              <c:strCache>
                <c:ptCount val="1"/>
                <c:pt idx="0">
                  <c:v>Capex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'IMEC Options'!$B$6:$B$30</c:f>
              <c:numCache>
                <c:formatCode>"$"#,##0;\("$"#,##0\);\-</c:formatCode>
                <c:ptCount val="25"/>
                <c:pt idx="0">
                  <c:v>-9545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0D-C04D-834B-BA3B81606AE1}"/>
            </c:ext>
          </c:extLst>
        </c:ser>
        <c:ser>
          <c:idx val="2"/>
          <c:order val="2"/>
          <c:tx>
            <c:strRef>
              <c:f>'IMEC Options'!$C$5</c:f>
              <c:strCache>
                <c:ptCount val="1"/>
                <c:pt idx="0">
                  <c:v>Volume
(M tonnes)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'IMEC Options'!$C$6:$C$30</c:f>
              <c:numCache>
                <c:formatCode>0.0</c:formatCode>
                <c:ptCount val="25"/>
                <c:pt idx="0">
                  <c:v>0</c:v>
                </c:pt>
                <c:pt idx="1">
                  <c:v>1.8</c:v>
                </c:pt>
                <c:pt idx="2">
                  <c:v>3.5</c:v>
                </c:pt>
                <c:pt idx="3">
                  <c:v>5.3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12.6</c:v>
                </c:pt>
                <c:pt idx="11">
                  <c:v>13.2</c:v>
                </c:pt>
                <c:pt idx="12">
                  <c:v>13.8</c:v>
                </c:pt>
                <c:pt idx="13">
                  <c:v>14.4</c:v>
                </c:pt>
                <c:pt idx="14">
                  <c:v>15</c:v>
                </c:pt>
                <c:pt idx="15">
                  <c:v>15.6</c:v>
                </c:pt>
                <c:pt idx="16">
                  <c:v>16.2</c:v>
                </c:pt>
                <c:pt idx="17">
                  <c:v>16.8</c:v>
                </c:pt>
                <c:pt idx="18">
                  <c:v>17.399999999999999</c:v>
                </c:pt>
                <c:pt idx="19">
                  <c:v>18</c:v>
                </c:pt>
                <c:pt idx="20">
                  <c:v>18.399999999999999</c:v>
                </c:pt>
                <c:pt idx="21">
                  <c:v>18.8</c:v>
                </c:pt>
                <c:pt idx="22">
                  <c:v>19.2</c:v>
                </c:pt>
                <c:pt idx="23">
                  <c:v>19.600000000000001</c:v>
                </c:pt>
                <c:pt idx="24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0D-C04D-834B-BA3B81606AE1}"/>
            </c:ext>
          </c:extLst>
        </c:ser>
        <c:ser>
          <c:idx val="3"/>
          <c:order val="3"/>
          <c:tx>
            <c:strRef>
              <c:f>'IMEC Options'!$D$5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'IMEC Options'!$D$6:$D$30</c:f>
              <c:numCache>
                <c:formatCode>"$"#,##0;\("$"#,##0\);\-</c:formatCode>
                <c:ptCount val="25"/>
                <c:pt idx="0">
                  <c:v>0</c:v>
                </c:pt>
                <c:pt idx="1">
                  <c:v>280</c:v>
                </c:pt>
                <c:pt idx="2">
                  <c:v>560</c:v>
                </c:pt>
                <c:pt idx="3">
                  <c:v>840</c:v>
                </c:pt>
                <c:pt idx="4">
                  <c:v>1120</c:v>
                </c:pt>
                <c:pt idx="5">
                  <c:v>1280</c:v>
                </c:pt>
                <c:pt idx="6">
                  <c:v>1440</c:v>
                </c:pt>
                <c:pt idx="7">
                  <c:v>1600</c:v>
                </c:pt>
                <c:pt idx="8">
                  <c:v>1760</c:v>
                </c:pt>
                <c:pt idx="9">
                  <c:v>1920</c:v>
                </c:pt>
                <c:pt idx="10">
                  <c:v>2016</c:v>
                </c:pt>
                <c:pt idx="11">
                  <c:v>2112</c:v>
                </c:pt>
                <c:pt idx="12">
                  <c:v>2208</c:v>
                </c:pt>
                <c:pt idx="13">
                  <c:v>2304</c:v>
                </c:pt>
                <c:pt idx="14">
                  <c:v>2400</c:v>
                </c:pt>
                <c:pt idx="15">
                  <c:v>2496</c:v>
                </c:pt>
                <c:pt idx="16">
                  <c:v>2592</c:v>
                </c:pt>
                <c:pt idx="17">
                  <c:v>2688</c:v>
                </c:pt>
                <c:pt idx="18">
                  <c:v>2784</c:v>
                </c:pt>
                <c:pt idx="19">
                  <c:v>2880</c:v>
                </c:pt>
                <c:pt idx="20">
                  <c:v>2944</c:v>
                </c:pt>
                <c:pt idx="21">
                  <c:v>3008</c:v>
                </c:pt>
                <c:pt idx="22">
                  <c:v>3072</c:v>
                </c:pt>
                <c:pt idx="23">
                  <c:v>3136</c:v>
                </c:pt>
                <c:pt idx="24">
                  <c:v>3200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0D-C04D-834B-BA3B81606AE1}"/>
            </c:ext>
          </c:extLst>
        </c:ser>
        <c:ser>
          <c:idx val="4"/>
          <c:order val="4"/>
          <c:tx>
            <c:strRef>
              <c:f>'IMEC Options'!$E$5</c:f>
              <c:strCache>
                <c:ptCount val="1"/>
                <c:pt idx="0">
                  <c:v>Opex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'IMEC Options'!$E$6:$E$30</c:f>
              <c:numCache>
                <c:formatCode>"$"#,##0;\("$"#,##0\);\-</c:formatCode>
                <c:ptCount val="25"/>
                <c:pt idx="0">
                  <c:v>0</c:v>
                </c:pt>
                <c:pt idx="1">
                  <c:v>-77</c:v>
                </c:pt>
                <c:pt idx="2">
                  <c:v>-155</c:v>
                </c:pt>
                <c:pt idx="3">
                  <c:v>-232</c:v>
                </c:pt>
                <c:pt idx="4">
                  <c:v>-310</c:v>
                </c:pt>
                <c:pt idx="5">
                  <c:v>-326</c:v>
                </c:pt>
                <c:pt idx="6">
                  <c:v>-342</c:v>
                </c:pt>
                <c:pt idx="7">
                  <c:v>-357</c:v>
                </c:pt>
                <c:pt idx="8">
                  <c:v>-373</c:v>
                </c:pt>
                <c:pt idx="9">
                  <c:v>-389</c:v>
                </c:pt>
                <c:pt idx="10">
                  <c:v>-396</c:v>
                </c:pt>
                <c:pt idx="11">
                  <c:v>-403</c:v>
                </c:pt>
                <c:pt idx="12">
                  <c:v>-411</c:v>
                </c:pt>
                <c:pt idx="13">
                  <c:v>-418</c:v>
                </c:pt>
                <c:pt idx="14">
                  <c:v>-425</c:v>
                </c:pt>
                <c:pt idx="15">
                  <c:v>-432</c:v>
                </c:pt>
                <c:pt idx="16">
                  <c:v>-440</c:v>
                </c:pt>
                <c:pt idx="17">
                  <c:v>-447</c:v>
                </c:pt>
                <c:pt idx="18">
                  <c:v>-455</c:v>
                </c:pt>
                <c:pt idx="19">
                  <c:v>-462</c:v>
                </c:pt>
                <c:pt idx="20">
                  <c:v>-468</c:v>
                </c:pt>
                <c:pt idx="21">
                  <c:v>-473</c:v>
                </c:pt>
                <c:pt idx="22">
                  <c:v>-479</c:v>
                </c:pt>
                <c:pt idx="23">
                  <c:v>-484</c:v>
                </c:pt>
                <c:pt idx="24">
                  <c:v>-490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0D-C04D-834B-BA3B81606AE1}"/>
            </c:ext>
          </c:extLst>
        </c:ser>
        <c:ser>
          <c:idx val="5"/>
          <c:order val="5"/>
          <c:tx>
            <c:strRef>
              <c:f>'IMEC Options'!$F$5</c:f>
              <c:strCache>
                <c:ptCount val="1"/>
                <c:pt idx="0">
                  <c:v>EBITDA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'IMEC Options'!$F$6:$F$30</c:f>
              <c:numCache>
                <c:formatCode>"$"#,##0;\("$"#,##0\);\-</c:formatCode>
                <c:ptCount val="25"/>
                <c:pt idx="0">
                  <c:v>0</c:v>
                </c:pt>
                <c:pt idx="1">
                  <c:v>203</c:v>
                </c:pt>
                <c:pt idx="2">
                  <c:v>405</c:v>
                </c:pt>
                <c:pt idx="3">
                  <c:v>608</c:v>
                </c:pt>
                <c:pt idx="4">
                  <c:v>810</c:v>
                </c:pt>
                <c:pt idx="5">
                  <c:v>954</c:v>
                </c:pt>
                <c:pt idx="6">
                  <c:v>1098</c:v>
                </c:pt>
                <c:pt idx="7">
                  <c:v>1243</c:v>
                </c:pt>
                <c:pt idx="8">
                  <c:v>1387</c:v>
                </c:pt>
                <c:pt idx="9">
                  <c:v>1531</c:v>
                </c:pt>
                <c:pt idx="10">
                  <c:v>1620</c:v>
                </c:pt>
                <c:pt idx="11">
                  <c:v>1709</c:v>
                </c:pt>
                <c:pt idx="12">
                  <c:v>1797</c:v>
                </c:pt>
                <c:pt idx="13">
                  <c:v>1886</c:v>
                </c:pt>
                <c:pt idx="14">
                  <c:v>1975</c:v>
                </c:pt>
                <c:pt idx="15">
                  <c:v>2064</c:v>
                </c:pt>
                <c:pt idx="16">
                  <c:v>2152</c:v>
                </c:pt>
                <c:pt idx="17">
                  <c:v>2241</c:v>
                </c:pt>
                <c:pt idx="18">
                  <c:v>2329</c:v>
                </c:pt>
                <c:pt idx="19">
                  <c:v>2418</c:v>
                </c:pt>
                <c:pt idx="20">
                  <c:v>2476</c:v>
                </c:pt>
                <c:pt idx="21">
                  <c:v>2535</c:v>
                </c:pt>
                <c:pt idx="22">
                  <c:v>2593</c:v>
                </c:pt>
                <c:pt idx="23">
                  <c:v>2652</c:v>
                </c:pt>
                <c:pt idx="24">
                  <c:v>2710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0D-C04D-834B-BA3B81606AE1}"/>
            </c:ext>
          </c:extLst>
        </c:ser>
        <c:ser>
          <c:idx val="6"/>
          <c:order val="6"/>
          <c:tx>
            <c:strRef>
              <c:f>'IMEC Options'!$G$5</c:f>
              <c:strCache>
                <c:ptCount val="1"/>
                <c:pt idx="0">
                  <c:v>EBITDA
Margin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'IMEC Options'!$G$6:$G$30</c:f>
              <c:numCache>
                <c:formatCode>0.0%</c:formatCode>
                <c:ptCount val="25"/>
                <c:pt idx="0">
                  <c:v>0</c:v>
                </c:pt>
                <c:pt idx="1">
                  <c:v>0.72499999999999998</c:v>
                </c:pt>
                <c:pt idx="2">
                  <c:v>0.7232142857142857</c:v>
                </c:pt>
                <c:pt idx="3">
                  <c:v>0.72380952380952379</c:v>
                </c:pt>
                <c:pt idx="4">
                  <c:v>0.7232142857142857</c:v>
                </c:pt>
                <c:pt idx="5">
                  <c:v>0.74531250000000004</c:v>
                </c:pt>
                <c:pt idx="6">
                  <c:v>0.76249999999999996</c:v>
                </c:pt>
                <c:pt idx="7">
                  <c:v>0.77687499999999998</c:v>
                </c:pt>
                <c:pt idx="8">
                  <c:v>0.78806818181818183</c:v>
                </c:pt>
                <c:pt idx="9">
                  <c:v>0.7973958333333333</c:v>
                </c:pt>
                <c:pt idx="10">
                  <c:v>0.8035714285714286</c:v>
                </c:pt>
                <c:pt idx="11">
                  <c:v>0.80918560606060608</c:v>
                </c:pt>
                <c:pt idx="12">
                  <c:v>0.81385869565217395</c:v>
                </c:pt>
                <c:pt idx="13">
                  <c:v>0.81857638888888884</c:v>
                </c:pt>
                <c:pt idx="14">
                  <c:v>0.82291666666666663</c:v>
                </c:pt>
                <c:pt idx="15">
                  <c:v>0.82692307692307687</c:v>
                </c:pt>
                <c:pt idx="16">
                  <c:v>0.83024691358024694</c:v>
                </c:pt>
                <c:pt idx="17">
                  <c:v>0.8337053571428571</c:v>
                </c:pt>
                <c:pt idx="18">
                  <c:v>0.83656609195402298</c:v>
                </c:pt>
                <c:pt idx="19">
                  <c:v>0.83958333333333335</c:v>
                </c:pt>
                <c:pt idx="20">
                  <c:v>0.84103260869565222</c:v>
                </c:pt>
                <c:pt idx="21">
                  <c:v>0.8427526595744681</c:v>
                </c:pt>
                <c:pt idx="22">
                  <c:v>0.84407552083333337</c:v>
                </c:pt>
                <c:pt idx="23">
                  <c:v>0.84566326530612246</c:v>
                </c:pt>
                <c:pt idx="24">
                  <c:v>0.84687500000000004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0D-C04D-834B-BA3B81606AE1}"/>
            </c:ext>
          </c:extLst>
        </c:ser>
        <c:ser>
          <c:idx val="7"/>
          <c:order val="7"/>
          <c:tx>
            <c:strRef>
              <c:f>'IMEC Options'!$H$5</c:f>
              <c:strCache>
                <c:ptCount val="1"/>
                <c:pt idx="0">
                  <c:v>Maint.
Capex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'IMEC Options'!$H$6:$H$30</c:f>
              <c:numCache>
                <c:formatCode>"$"#,##0;\("$"#,##0\);\-</c:formatCode>
                <c:ptCount val="25"/>
                <c:pt idx="0">
                  <c:v>0</c:v>
                </c:pt>
                <c:pt idx="1">
                  <c:v>-24</c:v>
                </c:pt>
                <c:pt idx="2">
                  <c:v>-47</c:v>
                </c:pt>
                <c:pt idx="3">
                  <c:v>-71</c:v>
                </c:pt>
                <c:pt idx="4">
                  <c:v>-95</c:v>
                </c:pt>
                <c:pt idx="5">
                  <c:v>-100</c:v>
                </c:pt>
                <c:pt idx="6">
                  <c:v>-105</c:v>
                </c:pt>
                <c:pt idx="7">
                  <c:v>-110</c:v>
                </c:pt>
                <c:pt idx="8">
                  <c:v>-115</c:v>
                </c:pt>
                <c:pt idx="9">
                  <c:v>-120</c:v>
                </c:pt>
                <c:pt idx="10">
                  <c:v>-124</c:v>
                </c:pt>
                <c:pt idx="11">
                  <c:v>-128</c:v>
                </c:pt>
                <c:pt idx="12">
                  <c:v>-132</c:v>
                </c:pt>
                <c:pt idx="13">
                  <c:v>-136</c:v>
                </c:pt>
                <c:pt idx="14">
                  <c:v>-140</c:v>
                </c:pt>
                <c:pt idx="15">
                  <c:v>-143</c:v>
                </c:pt>
                <c:pt idx="16">
                  <c:v>-146</c:v>
                </c:pt>
                <c:pt idx="17">
                  <c:v>-149</c:v>
                </c:pt>
                <c:pt idx="18">
                  <c:v>-152</c:v>
                </c:pt>
                <c:pt idx="19">
                  <c:v>-155</c:v>
                </c:pt>
                <c:pt idx="20">
                  <c:v>-157</c:v>
                </c:pt>
                <c:pt idx="21">
                  <c:v>-159</c:v>
                </c:pt>
                <c:pt idx="22">
                  <c:v>-161</c:v>
                </c:pt>
                <c:pt idx="23">
                  <c:v>-163</c:v>
                </c:pt>
                <c:pt idx="24">
                  <c:v>-165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B0D-C04D-834B-BA3B81606AE1}"/>
            </c:ext>
          </c:extLst>
        </c:ser>
        <c:ser>
          <c:idx val="8"/>
          <c:order val="8"/>
          <c:tx>
            <c:strRef>
              <c:f>'IMEC Options'!$I$5</c:f>
              <c:strCache>
                <c:ptCount val="1"/>
                <c:pt idx="0">
                  <c:v>FCF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'IMEC Options'!$I$6:$I$30</c:f>
              <c:numCache>
                <c:formatCode>"$"#,##0;\("$"#,##0\);\-</c:formatCode>
                <c:ptCount val="25"/>
                <c:pt idx="0">
                  <c:v>-9545</c:v>
                </c:pt>
                <c:pt idx="1">
                  <c:v>179</c:v>
                </c:pt>
                <c:pt idx="2">
                  <c:v>358</c:v>
                </c:pt>
                <c:pt idx="3">
                  <c:v>537</c:v>
                </c:pt>
                <c:pt idx="4">
                  <c:v>715</c:v>
                </c:pt>
                <c:pt idx="5">
                  <c:v>854</c:v>
                </c:pt>
                <c:pt idx="6">
                  <c:v>993</c:v>
                </c:pt>
                <c:pt idx="7">
                  <c:v>1133</c:v>
                </c:pt>
                <c:pt idx="8">
                  <c:v>1272</c:v>
                </c:pt>
                <c:pt idx="9">
                  <c:v>1411</c:v>
                </c:pt>
                <c:pt idx="10">
                  <c:v>1496</c:v>
                </c:pt>
                <c:pt idx="11">
                  <c:v>1581</c:v>
                </c:pt>
                <c:pt idx="12">
                  <c:v>1665</c:v>
                </c:pt>
                <c:pt idx="13">
                  <c:v>1750</c:v>
                </c:pt>
                <c:pt idx="14">
                  <c:v>1835</c:v>
                </c:pt>
                <c:pt idx="15">
                  <c:v>1921</c:v>
                </c:pt>
                <c:pt idx="16">
                  <c:v>2006</c:v>
                </c:pt>
                <c:pt idx="17">
                  <c:v>2092</c:v>
                </c:pt>
                <c:pt idx="18">
                  <c:v>2177</c:v>
                </c:pt>
                <c:pt idx="19">
                  <c:v>2263</c:v>
                </c:pt>
                <c:pt idx="20">
                  <c:v>2319</c:v>
                </c:pt>
                <c:pt idx="21">
                  <c:v>2376</c:v>
                </c:pt>
                <c:pt idx="22">
                  <c:v>2432</c:v>
                </c:pt>
                <c:pt idx="23">
                  <c:v>2489</c:v>
                </c:pt>
                <c:pt idx="24">
                  <c:v>2545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B0D-C04D-834B-BA3B81606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203135"/>
        <c:axId val="1760214335"/>
      </c:lineChart>
      <c:catAx>
        <c:axId val="17602031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214335"/>
        <c:crosses val="autoZero"/>
        <c:auto val="1"/>
        <c:lblAlgn val="ctr"/>
        <c:lblOffset val="100"/>
        <c:noMultiLvlLbl val="0"/>
      </c:catAx>
      <c:valAx>
        <c:axId val="1760214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2031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0D1B2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Gold Holdings Value ($mm) - 25 Year Projection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D1B2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'Investor Returns'!$A$4</c:f>
              <c:strCache>
                <c:ptCount val="1"/>
                <c:pt idx="0">
                  <c:v>Year</c:v>
                </c:pt>
              </c:strCache>
            </c:strRef>
          </c:tx>
          <c:spPr>
            <a:ln w="28575" cap="rnd">
              <a:solidFill>
                <a:srgbClr val="1B3A5C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'Investor Returns'!$A$5:$A$30</c:f>
              <c:numCache>
                <c:formatCode>General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3D-D242-B30B-20785A0F4EF3}"/>
            </c:ext>
          </c:extLst>
        </c:ser>
        <c:ser>
          <c:idx val="1"/>
          <c:order val="1"/>
          <c:tx>
            <c:strRef>
              <c:f>'Investor Returns'!$B$4</c:f>
              <c:strCache>
                <c:ptCount val="1"/>
                <c:pt idx="0">
                  <c:v>Gold Value
($mm)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'Investor Returns'!$B$5:$B$30</c:f>
              <c:numCache>
                <c:formatCode>"$"#,##0.0</c:formatCode>
                <c:ptCount val="26"/>
                <c:pt idx="0">
                  <c:v>222.75</c:v>
                </c:pt>
                <c:pt idx="1">
                  <c:v>231.66</c:v>
                </c:pt>
                <c:pt idx="2">
                  <c:v>240.9264</c:v>
                </c:pt>
                <c:pt idx="3">
                  <c:v>250.563456</c:v>
                </c:pt>
                <c:pt idx="4">
                  <c:v>260.58599423999999</c:v>
                </c:pt>
                <c:pt idx="5">
                  <c:v>271.0094340096</c:v>
                </c:pt>
                <c:pt idx="6">
                  <c:v>281.84981136998402</c:v>
                </c:pt>
                <c:pt idx="7">
                  <c:v>293.12380382478341</c:v>
                </c:pt>
                <c:pt idx="8">
                  <c:v>304.84875597777477</c:v>
                </c:pt>
                <c:pt idx="9">
                  <c:v>317.04270621688579</c:v>
                </c:pt>
                <c:pt idx="10">
                  <c:v>329.72441446556121</c:v>
                </c:pt>
                <c:pt idx="11">
                  <c:v>342.9133910441837</c:v>
                </c:pt>
                <c:pt idx="12">
                  <c:v>356.62992668595103</c:v>
                </c:pt>
                <c:pt idx="13">
                  <c:v>370.8951237533891</c:v>
                </c:pt>
                <c:pt idx="14">
                  <c:v>385.73092870352468</c:v>
                </c:pt>
                <c:pt idx="15">
                  <c:v>401.16016585166568</c:v>
                </c:pt>
                <c:pt idx="16">
                  <c:v>417.20657248573229</c:v>
                </c:pt>
                <c:pt idx="17">
                  <c:v>433.89483538516163</c:v>
                </c:pt>
                <c:pt idx="18">
                  <c:v>451.25062880056811</c:v>
                </c:pt>
                <c:pt idx="19">
                  <c:v>469.30065395259084</c:v>
                </c:pt>
                <c:pt idx="20">
                  <c:v>488.07268011069448</c:v>
                </c:pt>
                <c:pt idx="21">
                  <c:v>507.59558731512226</c:v>
                </c:pt>
                <c:pt idx="22">
                  <c:v>527.89941080772712</c:v>
                </c:pt>
                <c:pt idx="23">
                  <c:v>549.01538724003626</c:v>
                </c:pt>
                <c:pt idx="24">
                  <c:v>570.97600272963768</c:v>
                </c:pt>
                <c:pt idx="25">
                  <c:v>593.81504283882316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3D-D242-B30B-20785A0F4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5842751"/>
        <c:axId val="1875838271"/>
      </c:lineChart>
      <c:catAx>
        <c:axId val="187584275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5838271"/>
        <c:crosses val="autoZero"/>
        <c:auto val="1"/>
        <c:lblAlgn val="ctr"/>
        <c:lblOffset val="100"/>
        <c:noMultiLvlLbl val="0"/>
      </c:catAx>
      <c:valAx>
        <c:axId val="187583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5842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0D1B2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Scenario Analysis - Investor Returns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D1B2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'Investor Returns'!$B$48</c:f>
              <c:strCache>
                <c:ptCount val="1"/>
                <c:pt idx="0">
                  <c:v>Downside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rgbClr val="1B3A5C"/>
              </a:solidFill>
              <a:prstDash val="solid"/>
            </a:ln>
            <a:effectLst/>
          </c:spPr>
          <c:invertIfNegative val="0"/>
          <c:cat>
            <c:strRef>
              <c:f>'Investor Returns'!$A$49:$A$63</c:f>
              <c:strCache>
                <c:ptCount val="15"/>
                <c:pt idx="0">
                  <c:v>Probability</c:v>
                </c:pt>
                <c:pt idx="1">
                  <c:v>PE Annual Return</c:v>
                </c:pt>
                <c:pt idx="2">
                  <c:v>Gold Growth Scenario</c:v>
                </c:pt>
                <c:pt idx="4">
                  <c:v>Capital Return ($mm)</c:v>
                </c:pt>
                <c:pt idx="5">
                  <c:v>Coupon (50% cumulative, $mm)</c:v>
                </c:pt>
                <c:pt idx="6">
                  <c:v>Gold Appreciation ($mm)</c:v>
                </c:pt>
                <c:pt idx="7">
                  <c:v>PE Profit (cumul., $mm)</c:v>
                </c:pt>
                <c:pt idx="8">
                  <c:v>10% PE Participation ($mm)</c:v>
                </c:pt>
                <c:pt idx="10">
                  <c:v>Total Payout ($mm)</c:v>
                </c:pt>
                <c:pt idx="11">
                  <c:v>MOIC</c:v>
                </c:pt>
                <c:pt idx="12">
                  <c:v>Total Return (%)</c:v>
                </c:pt>
                <c:pt idx="13">
                  <c:v>Annualized IRR</c:v>
                </c:pt>
                <c:pt idx="14">
                  <c:v>NPV @ 8% ($mm)</c:v>
                </c:pt>
              </c:strCache>
            </c:strRef>
          </c:cat>
          <c:val>
            <c:numRef>
              <c:f>'Investor Returns'!$B$49:$B$63</c:f>
              <c:numCache>
                <c:formatCode>0.0%</c:formatCode>
                <c:ptCount val="15"/>
                <c:pt idx="0" formatCode="0%">
                  <c:v>0.35</c:v>
                </c:pt>
                <c:pt idx="1">
                  <c:v>0.03</c:v>
                </c:pt>
                <c:pt idx="2" formatCode="General">
                  <c:v>0</c:v>
                </c:pt>
                <c:pt idx="4" formatCode="&quot;$&quot;#,##0">
                  <c:v>250</c:v>
                </c:pt>
                <c:pt idx="5" formatCode="&quot;$&quot;#,##0">
                  <c:v>125</c:v>
                </c:pt>
                <c:pt idx="6" formatCode="&quot;$&quot;#,##0.0">
                  <c:v>35.661726890088914</c:v>
                </c:pt>
                <c:pt idx="7" formatCode="&quot;$&quot;#,##0.0">
                  <c:v>27.071003758941792</c:v>
                </c:pt>
                <c:pt idx="8" formatCode="&quot;$&quot;#,##0.0">
                  <c:v>2.7071003758941794</c:v>
                </c:pt>
                <c:pt idx="10" formatCode="&quot;$&quot;#,##0.0">
                  <c:v>413.3688272659831</c:v>
                </c:pt>
                <c:pt idx="11" formatCode="0.00\x">
                  <c:v>1.6534753090639325</c:v>
                </c:pt>
                <c:pt idx="12">
                  <c:v>0.65347530906393247</c:v>
                </c:pt>
                <c:pt idx="13">
                  <c:v>2.0318846270914293E-2</c:v>
                </c:pt>
                <c:pt idx="14" formatCode="&quot;$&quot;#,##0.0;\(&quot;$&quot;#,##0.0\)">
                  <c:v>-189.64074988631313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2E-1E41-BA60-C9F220823CD4}"/>
            </c:ext>
          </c:extLst>
        </c:ser>
        <c:ser>
          <c:idx val="1"/>
          <c:order val="1"/>
          <c:tx>
            <c:strRef>
              <c:f>'Investor Returns'!$C$48</c:f>
              <c:strCache>
                <c:ptCount val="1"/>
                <c:pt idx="0">
                  <c:v>Base Case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'Investor Returns'!$A$49:$A$63</c:f>
              <c:strCache>
                <c:ptCount val="15"/>
                <c:pt idx="0">
                  <c:v>Probability</c:v>
                </c:pt>
                <c:pt idx="1">
                  <c:v>PE Annual Return</c:v>
                </c:pt>
                <c:pt idx="2">
                  <c:v>Gold Growth Scenario</c:v>
                </c:pt>
                <c:pt idx="4">
                  <c:v>Capital Return ($mm)</c:v>
                </c:pt>
                <c:pt idx="5">
                  <c:v>Coupon (50% cumulative, $mm)</c:v>
                </c:pt>
                <c:pt idx="6">
                  <c:v>Gold Appreciation ($mm)</c:v>
                </c:pt>
                <c:pt idx="7">
                  <c:v>PE Profit (cumul., $mm)</c:v>
                </c:pt>
                <c:pt idx="8">
                  <c:v>10% PE Participation ($mm)</c:v>
                </c:pt>
                <c:pt idx="10">
                  <c:v>Total Payout ($mm)</c:v>
                </c:pt>
                <c:pt idx="11">
                  <c:v>MOIC</c:v>
                </c:pt>
                <c:pt idx="12">
                  <c:v>Total Return (%)</c:v>
                </c:pt>
                <c:pt idx="13">
                  <c:v>Annualized IRR</c:v>
                </c:pt>
                <c:pt idx="14">
                  <c:v>NPV @ 8% ($mm)</c:v>
                </c:pt>
              </c:strCache>
            </c:strRef>
          </c:cat>
          <c:val>
            <c:numRef>
              <c:f>'Investor Returns'!$C$49:$C$63</c:f>
              <c:numCache>
                <c:formatCode>0.0%</c:formatCode>
                <c:ptCount val="15"/>
                <c:pt idx="0" formatCode="0%">
                  <c:v>0.45</c:v>
                </c:pt>
                <c:pt idx="1">
                  <c:v>0.11</c:v>
                </c:pt>
                <c:pt idx="2" formatCode="General">
                  <c:v>0</c:v>
                </c:pt>
                <c:pt idx="4" formatCode="&quot;$&quot;#,##0">
                  <c:v>250</c:v>
                </c:pt>
                <c:pt idx="5" formatCode="&quot;$&quot;#,##0">
                  <c:v>125</c:v>
                </c:pt>
                <c:pt idx="6" formatCode="&quot;$&quot;#,##0.0">
                  <c:v>343.8150428388235</c:v>
                </c:pt>
                <c:pt idx="7" formatCode="&quot;$&quot;#,##0.0">
                  <c:v>311.49022912205328</c:v>
                </c:pt>
                <c:pt idx="8" formatCode="&quot;$&quot;#,##0.0">
                  <c:v>31.149022912205329</c:v>
                </c:pt>
                <c:pt idx="10" formatCode="&quot;$&quot;#,##0.0">
                  <c:v>749.96406575102878</c:v>
                </c:pt>
                <c:pt idx="11" formatCode="0.00\x">
                  <c:v>2.9998562630041152</c:v>
                </c:pt>
                <c:pt idx="12">
                  <c:v>1.9998562630041152</c:v>
                </c:pt>
                <c:pt idx="13">
                  <c:v>4.4922348507535181E-2</c:v>
                </c:pt>
                <c:pt idx="14" formatCode="&quot;$&quot;#,##0.0;\(&quot;$&quot;#,##0.0\)">
                  <c:v>-140.49181835906427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2E-1E41-BA60-C9F220823CD4}"/>
            </c:ext>
          </c:extLst>
        </c:ser>
        <c:ser>
          <c:idx val="2"/>
          <c:order val="2"/>
          <c:tx>
            <c:strRef>
              <c:f>'Investor Returns'!$D$48</c:f>
              <c:strCache>
                <c:ptCount val="1"/>
                <c:pt idx="0">
                  <c:v>Upside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'Investor Returns'!$A$49:$A$63</c:f>
              <c:strCache>
                <c:ptCount val="15"/>
                <c:pt idx="0">
                  <c:v>Probability</c:v>
                </c:pt>
                <c:pt idx="1">
                  <c:v>PE Annual Return</c:v>
                </c:pt>
                <c:pt idx="2">
                  <c:v>Gold Growth Scenario</c:v>
                </c:pt>
                <c:pt idx="4">
                  <c:v>Capital Return ($mm)</c:v>
                </c:pt>
                <c:pt idx="5">
                  <c:v>Coupon (50% cumulative, $mm)</c:v>
                </c:pt>
                <c:pt idx="6">
                  <c:v>Gold Appreciation ($mm)</c:v>
                </c:pt>
                <c:pt idx="7">
                  <c:v>PE Profit (cumul., $mm)</c:v>
                </c:pt>
                <c:pt idx="8">
                  <c:v>10% PE Participation ($mm)</c:v>
                </c:pt>
                <c:pt idx="10">
                  <c:v>Total Payout ($mm)</c:v>
                </c:pt>
                <c:pt idx="11">
                  <c:v>MOIC</c:v>
                </c:pt>
                <c:pt idx="12">
                  <c:v>Total Return (%)</c:v>
                </c:pt>
                <c:pt idx="13">
                  <c:v>Annualized IRR</c:v>
                </c:pt>
                <c:pt idx="14">
                  <c:v>NPV @ 8% ($mm)</c:v>
                </c:pt>
              </c:strCache>
            </c:strRef>
          </c:cat>
          <c:val>
            <c:numRef>
              <c:f>'Investor Returns'!$D$49:$D$63</c:f>
              <c:numCache>
                <c:formatCode>0.0%</c:formatCode>
                <c:ptCount val="15"/>
                <c:pt idx="0" formatCode="0%">
                  <c:v>0.2</c:v>
                </c:pt>
                <c:pt idx="1">
                  <c:v>0.18</c:v>
                </c:pt>
                <c:pt idx="2" formatCode="General">
                  <c:v>0</c:v>
                </c:pt>
                <c:pt idx="4" formatCode="&quot;$&quot;#,##0">
                  <c:v>250</c:v>
                </c:pt>
                <c:pt idx="5" formatCode="&quot;$&quot;#,##0">
                  <c:v>125</c:v>
                </c:pt>
                <c:pt idx="6" formatCode="&quot;$&quot;#,##0.0">
                  <c:v>958.96062058737402</c:v>
                </c:pt>
                <c:pt idx="7" formatCode="&quot;$&quot;#,##0.0">
                  <c:v>1526.2985281020576</c:v>
                </c:pt>
                <c:pt idx="8" formatCode="&quot;$&quot;#,##0.0">
                  <c:v>152.62985281020576</c:v>
                </c:pt>
                <c:pt idx="10" formatCode="&quot;$&quot;#,##0.0">
                  <c:v>1486.5904733975799</c:v>
                </c:pt>
                <c:pt idx="11" formatCode="0.00\x">
                  <c:v>5.9463618935903195</c:v>
                </c:pt>
                <c:pt idx="12">
                  <c:v>4.9463618935903195</c:v>
                </c:pt>
                <c:pt idx="13">
                  <c:v>7.3915358556899236E-2</c:v>
                </c:pt>
                <c:pt idx="14" formatCode="&quot;$&quot;#,##0.0;\(&quot;$&quot;#,##0.0\)">
                  <c:v>-32.931173610989106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2E-1E41-BA60-C9F220823CD4}"/>
            </c:ext>
          </c:extLst>
        </c:ser>
        <c:ser>
          <c:idx val="3"/>
          <c:order val="3"/>
          <c:tx>
            <c:strRef>
              <c:f>'Investor Returns'!$E$48</c:f>
              <c:strCache>
                <c:ptCount val="1"/>
                <c:pt idx="0">
                  <c:v>Probability-
Weighted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'Investor Returns'!$A$49:$A$63</c:f>
              <c:strCache>
                <c:ptCount val="15"/>
                <c:pt idx="0">
                  <c:v>Probability</c:v>
                </c:pt>
                <c:pt idx="1">
                  <c:v>PE Annual Return</c:v>
                </c:pt>
                <c:pt idx="2">
                  <c:v>Gold Growth Scenario</c:v>
                </c:pt>
                <c:pt idx="4">
                  <c:v>Capital Return ($mm)</c:v>
                </c:pt>
                <c:pt idx="5">
                  <c:v>Coupon (50% cumulative, $mm)</c:v>
                </c:pt>
                <c:pt idx="6">
                  <c:v>Gold Appreciation ($mm)</c:v>
                </c:pt>
                <c:pt idx="7">
                  <c:v>PE Profit (cumul., $mm)</c:v>
                </c:pt>
                <c:pt idx="8">
                  <c:v>10% PE Participation ($mm)</c:v>
                </c:pt>
                <c:pt idx="10">
                  <c:v>Total Payout ($mm)</c:v>
                </c:pt>
                <c:pt idx="11">
                  <c:v>MOIC</c:v>
                </c:pt>
                <c:pt idx="12">
                  <c:v>Total Return (%)</c:v>
                </c:pt>
                <c:pt idx="13">
                  <c:v>Annualized IRR</c:v>
                </c:pt>
                <c:pt idx="14">
                  <c:v>NPV @ 8% ($mm)</c:v>
                </c:pt>
              </c:strCache>
            </c:strRef>
          </c:cat>
          <c:val>
            <c:numRef>
              <c:f>'Investor Returns'!$E$49:$E$63</c:f>
              <c:numCache>
                <c:formatCode>General</c:formatCode>
                <c:ptCount val="15"/>
                <c:pt idx="0" formatCode="0%">
                  <c:v>1</c:v>
                </c:pt>
                <c:pt idx="10" formatCode="&quot;$&quot;#,##0.0">
                  <c:v>779.48101381057302</c:v>
                </c:pt>
                <c:pt idx="11" formatCode="0.00\x">
                  <c:v>3.117924055242292</c:v>
                </c:pt>
                <c:pt idx="12" formatCode="0.0%">
                  <c:v>2.117924055242292</c:v>
                </c:pt>
                <c:pt idx="13" formatCode="0.0%">
                  <c:v>4.6537081955333681E-2</c:v>
                </c:pt>
                <c:pt idx="14" formatCode="&quot;$&quot;#,##0.0;\(&quot;$&quot;#,##0.0\)">
                  <c:v>-136.18181544398635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2E-1E41-BA60-C9F220823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0126591"/>
        <c:axId val="1760117183"/>
      </c:barChart>
      <c:catAx>
        <c:axId val="1760126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117183"/>
        <c:crosses val="autoZero"/>
        <c:auto val="1"/>
        <c:lblAlgn val="ctr"/>
        <c:lblOffset val="100"/>
        <c:noMultiLvlLbl val="0"/>
      </c:catAx>
      <c:valAx>
        <c:axId val="1760117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126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15</xdr:col>
      <xdr:colOff>444500</xdr:colOff>
      <xdr:row>15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2B6A71-A9D2-1C46-460F-AB63F2900C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19</xdr:col>
      <xdr:colOff>444500</xdr:colOff>
      <xdr:row>13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4D44BA-1270-D0D5-6464-7016BCD562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21</xdr:row>
      <xdr:rowOff>0</xdr:rowOff>
    </xdr:from>
    <xdr:to>
      <xdr:col>19</xdr:col>
      <xdr:colOff>444500</xdr:colOff>
      <xdr:row>34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8DFB3C-ADFD-7EF1-15F1-474DB77B08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CDA1C0-A4B5-8E47-BD12-D3FC22037852}">
  <we:reference id="wa200009404" version="1.0.0.5" store="en-US" storeType="OMEX"/>
  <we:alternateReferences>
    <we:reference id="wa200009404" version="1.0.0.5" store="en-US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8B975-B1B1-2842-B500-89B905483E73}">
  <sheetPr>
    <tabColor rgb="FF0D1B2A"/>
  </sheetPr>
  <dimension ref="A1:D48"/>
  <sheetViews>
    <sheetView showGridLines="0" tabSelected="1" workbookViewId="0"/>
  </sheetViews>
  <sheetFormatPr defaultColWidth="10.8515625" defaultRowHeight="16.5" x14ac:dyDescent="0.25"/>
  <cols>
    <col min="1" max="1" width="36.62109375" customWidth="1"/>
    <col min="2" max="4" width="28.359375" customWidth="1"/>
  </cols>
  <sheetData>
    <row r="1" spans="1:4" ht="23.25" x14ac:dyDescent="0.3">
      <c r="A1" s="1" t="s">
        <v>277</v>
      </c>
      <c r="B1" s="2"/>
      <c r="C1" s="2"/>
      <c r="D1" s="2"/>
    </row>
    <row r="2" spans="1:4" ht="18" x14ac:dyDescent="0.25">
      <c r="A2" s="3" t="s">
        <v>278</v>
      </c>
      <c r="B2" s="2"/>
      <c r="C2" s="2"/>
      <c r="D2" s="2"/>
    </row>
    <row r="3" spans="1:4" x14ac:dyDescent="0.25">
      <c r="A3" s="4" t="s">
        <v>279</v>
      </c>
      <c r="B3" s="2"/>
      <c r="C3" s="2"/>
      <c r="D3" s="2"/>
    </row>
    <row r="4" spans="1:4" ht="8.1" customHeight="1" x14ac:dyDescent="0.25">
      <c r="A4" s="5"/>
      <c r="B4" s="5"/>
      <c r="C4" s="5"/>
      <c r="D4" s="5"/>
    </row>
    <row r="5" spans="1:4" ht="18" x14ac:dyDescent="0.25">
      <c r="A5" s="6" t="s">
        <v>280</v>
      </c>
      <c r="B5" s="6"/>
      <c r="C5" s="6"/>
      <c r="D5" s="6"/>
    </row>
    <row r="6" spans="1:4" ht="3.95" customHeight="1" thickBot="1" x14ac:dyDescent="0.3">
      <c r="A6" s="7"/>
      <c r="B6" s="7"/>
      <c r="C6" s="7"/>
      <c r="D6" s="7"/>
    </row>
    <row r="7" spans="1:4" x14ac:dyDescent="0.25">
      <c r="A7" s="8" t="s">
        <v>1</v>
      </c>
      <c r="B7" s="8"/>
      <c r="C7" s="8" t="s">
        <v>212</v>
      </c>
      <c r="D7" s="8"/>
    </row>
    <row r="8" spans="1:4" ht="21" x14ac:dyDescent="0.3">
      <c r="A8" s="9" t="s">
        <v>2</v>
      </c>
      <c r="B8" s="9" t="s">
        <v>3</v>
      </c>
      <c r="C8" s="10" t="s">
        <v>281</v>
      </c>
      <c r="D8" s="11">
        <f>'Investor Returns'!C60</f>
        <v>2.9998562630041152</v>
      </c>
    </row>
    <row r="9" spans="1:4" ht="18.75" x14ac:dyDescent="0.25">
      <c r="A9" s="12" t="s">
        <v>282</v>
      </c>
      <c r="B9" s="13">
        <f>Assumptions!B6</f>
        <v>250</v>
      </c>
      <c r="C9" s="14" t="s">
        <v>283</v>
      </c>
      <c r="D9" s="15">
        <f>'Investor Returns'!C62</f>
        <v>4.4922348507535181E-2</v>
      </c>
    </row>
    <row r="10" spans="1:4" x14ac:dyDescent="0.25">
      <c r="A10" s="9" t="s">
        <v>5</v>
      </c>
      <c r="B10" s="9" t="s">
        <v>6</v>
      </c>
      <c r="C10" s="10" t="s">
        <v>284</v>
      </c>
      <c r="D10" s="16">
        <f>'Investor Returns'!E62</f>
        <v>4.6537081955333681E-2</v>
      </c>
    </row>
    <row r="11" spans="1:4" x14ac:dyDescent="0.25">
      <c r="A11" s="12" t="s">
        <v>285</v>
      </c>
      <c r="B11" s="12" t="s">
        <v>286</v>
      </c>
      <c r="C11" s="14" t="s">
        <v>287</v>
      </c>
      <c r="D11" s="17">
        <f>'Investor Returns'!B60</f>
        <v>1.6534753090639325</v>
      </c>
    </row>
    <row r="12" spans="1:4" x14ac:dyDescent="0.25">
      <c r="A12" s="9" t="s">
        <v>8</v>
      </c>
      <c r="B12" s="18">
        <v>46037</v>
      </c>
      <c r="C12" s="10" t="s">
        <v>288</v>
      </c>
      <c r="D12" s="19">
        <f>'Investor Returns'!D60</f>
        <v>5.9463618935903195</v>
      </c>
    </row>
    <row r="13" spans="1:4" x14ac:dyDescent="0.25">
      <c r="A13" s="12" t="s">
        <v>14</v>
      </c>
      <c r="B13" s="12" t="s">
        <v>289</v>
      </c>
      <c r="C13" s="20"/>
      <c r="D13" s="20"/>
    </row>
    <row r="14" spans="1:4" x14ac:dyDescent="0.25">
      <c r="A14" s="9" t="s">
        <v>290</v>
      </c>
      <c r="B14" s="9" t="s">
        <v>291</v>
      </c>
      <c r="C14" s="21" t="s">
        <v>292</v>
      </c>
      <c r="D14" s="21"/>
    </row>
    <row r="15" spans="1:4" x14ac:dyDescent="0.25">
      <c r="A15" s="12" t="s">
        <v>293</v>
      </c>
      <c r="B15" s="12" t="s">
        <v>294</v>
      </c>
      <c r="C15" s="10" t="s">
        <v>295</v>
      </c>
      <c r="D15" s="22">
        <f>'Capital Allocation'!B10</f>
        <v>222.75</v>
      </c>
    </row>
    <row r="16" spans="1:4" x14ac:dyDescent="0.25">
      <c r="A16" s="9" t="s">
        <v>296</v>
      </c>
      <c r="B16" s="9" t="s">
        <v>297</v>
      </c>
      <c r="C16" s="14" t="s">
        <v>298</v>
      </c>
      <c r="D16" s="23">
        <f>'Capital Allocation'!B11</f>
        <v>24.75</v>
      </c>
    </row>
    <row r="17" spans="1:4" x14ac:dyDescent="0.25">
      <c r="A17" s="12" t="s">
        <v>299</v>
      </c>
      <c r="B17" s="12" t="s">
        <v>300</v>
      </c>
      <c r="C17" s="10" t="s">
        <v>301</v>
      </c>
      <c r="D17" s="22">
        <f>'Capital Allocation'!B18</f>
        <v>3.5954999999999999</v>
      </c>
    </row>
    <row r="18" spans="1:4" x14ac:dyDescent="0.25">
      <c r="A18" s="9" t="s">
        <v>26</v>
      </c>
      <c r="B18" s="9" t="s">
        <v>302</v>
      </c>
      <c r="C18" s="24" t="s">
        <v>303</v>
      </c>
      <c r="D18" s="25">
        <f>'Capital Allocation'!B23</f>
        <v>75508.474576271183</v>
      </c>
    </row>
    <row r="19" spans="1:4" x14ac:dyDescent="0.25">
      <c r="A19" s="12" t="s">
        <v>304</v>
      </c>
      <c r="B19" s="12" t="s">
        <v>305</v>
      </c>
      <c r="C19" s="7"/>
      <c r="D19" s="7"/>
    </row>
    <row r="20" spans="1:4" x14ac:dyDescent="0.25">
      <c r="A20" s="9" t="s">
        <v>306</v>
      </c>
      <c r="B20" s="9" t="s">
        <v>307</v>
      </c>
      <c r="C20" s="7"/>
      <c r="D20" s="7"/>
    </row>
    <row r="21" spans="1:4" x14ac:dyDescent="0.25">
      <c r="A21" s="26" t="s">
        <v>308</v>
      </c>
      <c r="B21" s="26" t="s">
        <v>309</v>
      </c>
      <c r="C21" s="7"/>
      <c r="D21" s="7"/>
    </row>
    <row r="22" spans="1:4" x14ac:dyDescent="0.25">
      <c r="A22" s="7"/>
      <c r="B22" s="7"/>
      <c r="C22" s="7"/>
      <c r="D22" s="7"/>
    </row>
    <row r="23" spans="1:4" ht="18.75" thickBot="1" x14ac:dyDescent="0.3">
      <c r="A23" s="6" t="s">
        <v>310</v>
      </c>
      <c r="B23" s="6"/>
      <c r="C23" s="6"/>
      <c r="D23" s="6"/>
    </row>
    <row r="24" spans="1:4" x14ac:dyDescent="0.25">
      <c r="A24" s="27" t="s">
        <v>67</v>
      </c>
      <c r="B24" s="28" t="s">
        <v>228</v>
      </c>
      <c r="C24" s="28" t="s">
        <v>198</v>
      </c>
      <c r="D24" s="29" t="s">
        <v>311</v>
      </c>
    </row>
    <row r="25" spans="1:4" x14ac:dyDescent="0.25">
      <c r="A25" s="30" t="s">
        <v>312</v>
      </c>
      <c r="B25" s="31">
        <f>'Investor Returns'!B59</f>
        <v>413.3688272659831</v>
      </c>
      <c r="C25" s="32">
        <f>'Investor Returns'!B60</f>
        <v>1.6534753090639325</v>
      </c>
      <c r="D25" s="33">
        <f>'Investor Returns'!B62</f>
        <v>2.0318846270914293E-2</v>
      </c>
    </row>
    <row r="26" spans="1:4" x14ac:dyDescent="0.25">
      <c r="A26" s="34" t="s">
        <v>313</v>
      </c>
      <c r="B26" s="35">
        <f>'Investor Returns'!C59</f>
        <v>749.96406575102878</v>
      </c>
      <c r="C26" s="36">
        <f>'Investor Returns'!C60</f>
        <v>2.9998562630041152</v>
      </c>
      <c r="D26" s="37">
        <f>'Investor Returns'!C62</f>
        <v>4.4922348507535181E-2</v>
      </c>
    </row>
    <row r="27" spans="1:4" x14ac:dyDescent="0.25">
      <c r="A27" s="38" t="s">
        <v>314</v>
      </c>
      <c r="B27" s="39">
        <f>'Investor Returns'!D59</f>
        <v>1486.5904733975799</v>
      </c>
      <c r="C27" s="40">
        <f>'Investor Returns'!D60</f>
        <v>5.9463618935903195</v>
      </c>
      <c r="D27" s="41">
        <f>'Investor Returns'!D62</f>
        <v>7.3915358556899236E-2</v>
      </c>
    </row>
    <row r="28" spans="1:4" ht="17.25" thickBot="1" x14ac:dyDescent="0.3">
      <c r="A28" s="42" t="s">
        <v>315</v>
      </c>
      <c r="B28" s="43">
        <f>'Investor Returns'!E59</f>
        <v>779.48101381057302</v>
      </c>
      <c r="C28" s="44">
        <f>'Investor Returns'!E60</f>
        <v>3.117924055242292</v>
      </c>
      <c r="D28" s="45">
        <f>'Investor Returns'!E62</f>
        <v>4.6537081955333681E-2</v>
      </c>
    </row>
    <row r="29" spans="1:4" x14ac:dyDescent="0.25">
      <c r="A29" s="7"/>
      <c r="B29" s="7"/>
      <c r="C29" s="7"/>
      <c r="D29" s="7"/>
    </row>
    <row r="30" spans="1:4" ht="18" x14ac:dyDescent="0.25">
      <c r="A30" s="6" t="s">
        <v>316</v>
      </c>
      <c r="B30" s="6"/>
      <c r="C30" s="6"/>
      <c r="D30" s="6"/>
    </row>
    <row r="31" spans="1:4" x14ac:dyDescent="0.25">
      <c r="A31" s="46" t="s">
        <v>317</v>
      </c>
      <c r="B31" s="46" t="s">
        <v>318</v>
      </c>
      <c r="C31" s="46" t="s">
        <v>319</v>
      </c>
      <c r="D31" s="46" t="s">
        <v>320</v>
      </c>
    </row>
    <row r="32" spans="1:4" x14ac:dyDescent="0.25">
      <c r="A32" s="47" t="s">
        <v>321</v>
      </c>
      <c r="B32" s="47" t="s">
        <v>322</v>
      </c>
      <c r="C32" s="47" t="s">
        <v>323</v>
      </c>
      <c r="D32" s="47" t="s">
        <v>324</v>
      </c>
    </row>
    <row r="33" spans="1:4" x14ac:dyDescent="0.25">
      <c r="A33" s="46" t="s">
        <v>325</v>
      </c>
      <c r="B33" s="46" t="s">
        <v>326</v>
      </c>
      <c r="C33" s="46" t="s">
        <v>327</v>
      </c>
      <c r="D33" s="46" t="s">
        <v>328</v>
      </c>
    </row>
    <row r="34" spans="1:4" x14ac:dyDescent="0.25">
      <c r="A34" s="48" t="s">
        <v>329</v>
      </c>
      <c r="B34" s="48" t="s">
        <v>330</v>
      </c>
      <c r="C34" s="48" t="s">
        <v>331</v>
      </c>
      <c r="D34" s="48" t="s">
        <v>332</v>
      </c>
    </row>
    <row r="35" spans="1:4" x14ac:dyDescent="0.25">
      <c r="A35" s="46" t="s">
        <v>333</v>
      </c>
      <c r="B35" s="49">
        <f>'IMEC Options'!I35</f>
        <v>812.48730911130781</v>
      </c>
      <c r="C35" s="46" t="s">
        <v>334</v>
      </c>
      <c r="D35" s="50">
        <f>'IMEC Options'!I36</f>
        <v>0.10845599201909994</v>
      </c>
    </row>
    <row r="36" spans="1:4" x14ac:dyDescent="0.25">
      <c r="A36" s="7"/>
      <c r="B36" s="7"/>
      <c r="C36" s="7"/>
      <c r="D36" s="7"/>
    </row>
    <row r="37" spans="1:4" ht="18.75" thickBot="1" x14ac:dyDescent="0.3">
      <c r="A37" s="6" t="s">
        <v>335</v>
      </c>
      <c r="B37" s="6"/>
      <c r="C37" s="6"/>
      <c r="D37" s="6"/>
    </row>
    <row r="38" spans="1:4" x14ac:dyDescent="0.25">
      <c r="A38" s="51" t="s">
        <v>336</v>
      </c>
      <c r="B38" s="52" t="s">
        <v>337</v>
      </c>
      <c r="C38" s="53" t="s">
        <v>338</v>
      </c>
      <c r="D38" s="7"/>
    </row>
    <row r="39" spans="1:4" x14ac:dyDescent="0.25">
      <c r="A39" s="54" t="s">
        <v>339</v>
      </c>
      <c r="B39" s="55" t="s">
        <v>340</v>
      </c>
      <c r="C39" s="56" t="s">
        <v>341</v>
      </c>
      <c r="D39" s="7"/>
    </row>
    <row r="40" spans="1:4" x14ac:dyDescent="0.25">
      <c r="A40" s="57" t="s">
        <v>342</v>
      </c>
      <c r="B40" s="58" t="s">
        <v>343</v>
      </c>
      <c r="C40" s="59" t="s">
        <v>344</v>
      </c>
      <c r="D40" s="7"/>
    </row>
    <row r="41" spans="1:4" x14ac:dyDescent="0.25">
      <c r="A41" s="54" t="s">
        <v>345</v>
      </c>
      <c r="B41" s="55" t="s">
        <v>346</v>
      </c>
      <c r="C41" s="56" t="s">
        <v>347</v>
      </c>
      <c r="D41" s="7"/>
    </row>
    <row r="42" spans="1:4" x14ac:dyDescent="0.25">
      <c r="A42" s="57" t="s">
        <v>348</v>
      </c>
      <c r="B42" s="58" t="s">
        <v>349</v>
      </c>
      <c r="C42" s="59" t="s">
        <v>350</v>
      </c>
      <c r="D42" s="7"/>
    </row>
    <row r="43" spans="1:4" x14ac:dyDescent="0.25">
      <c r="A43" s="54" t="s">
        <v>351</v>
      </c>
      <c r="B43" s="55" t="s">
        <v>352</v>
      </c>
      <c r="C43" s="56" t="s">
        <v>353</v>
      </c>
      <c r="D43" s="7"/>
    </row>
    <row r="44" spans="1:4" x14ac:dyDescent="0.25">
      <c r="A44" s="57" t="s">
        <v>354</v>
      </c>
      <c r="B44" s="58" t="s">
        <v>355</v>
      </c>
      <c r="C44" s="59" t="s">
        <v>356</v>
      </c>
      <c r="D44" s="7"/>
    </row>
    <row r="45" spans="1:4" x14ac:dyDescent="0.25">
      <c r="A45" s="60" t="s">
        <v>357</v>
      </c>
      <c r="B45" s="61" t="s">
        <v>358</v>
      </c>
      <c r="C45" s="62" t="s">
        <v>359</v>
      </c>
      <c r="D45" s="7"/>
    </row>
    <row r="46" spans="1:4" x14ac:dyDescent="0.25">
      <c r="A46" s="7"/>
      <c r="B46" s="7"/>
      <c r="C46" s="7"/>
      <c r="D46" s="7"/>
    </row>
    <row r="47" spans="1:4" x14ac:dyDescent="0.25">
      <c r="A47" s="63" t="s">
        <v>360</v>
      </c>
      <c r="B47" s="63"/>
      <c r="C47" s="63"/>
      <c r="D47" s="63"/>
    </row>
    <row r="48" spans="1:4" x14ac:dyDescent="0.25">
      <c r="A48" s="64" t="s">
        <v>361</v>
      </c>
      <c r="B48" s="46" t="s">
        <v>362</v>
      </c>
      <c r="C48" s="46" t="s">
        <v>363</v>
      </c>
      <c r="D48" s="65" t="s">
        <v>364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32279-B1FA-B54C-9CDF-B7E73E424D0D}">
  <sheetPr>
    <tabColor rgb="FF2C4A6E"/>
  </sheetPr>
  <dimension ref="A1:F75"/>
  <sheetViews>
    <sheetView showGridLines="0" workbookViewId="0"/>
  </sheetViews>
  <sheetFormatPr defaultColWidth="10.8515625" defaultRowHeight="16.5" x14ac:dyDescent="0.25"/>
  <cols>
    <col min="1" max="1" width="41.6796875" customWidth="1"/>
    <col min="2" max="6" width="21.703125" customWidth="1"/>
  </cols>
  <sheetData>
    <row r="1" spans="1:6" ht="21" x14ac:dyDescent="0.3">
      <c r="A1" s="66">
        <v>14</v>
      </c>
      <c r="B1" s="7"/>
      <c r="C1" s="7"/>
      <c r="D1" s="7"/>
      <c r="E1" s="7"/>
      <c r="F1" s="7"/>
    </row>
    <row r="2" spans="1:6" ht="18" x14ac:dyDescent="0.25">
      <c r="A2" s="6" t="s">
        <v>0</v>
      </c>
      <c r="B2" s="6"/>
      <c r="C2" s="6"/>
      <c r="D2" s="6"/>
      <c r="E2" s="6"/>
      <c r="F2" s="6"/>
    </row>
    <row r="3" spans="1:6" x14ac:dyDescent="0.25">
      <c r="A3" s="7"/>
      <c r="B3" s="7"/>
      <c r="C3" s="7"/>
      <c r="D3" s="7"/>
      <c r="E3" s="7"/>
      <c r="F3" s="7"/>
    </row>
    <row r="4" spans="1:6" x14ac:dyDescent="0.25">
      <c r="A4" s="67" t="s">
        <v>1</v>
      </c>
      <c r="B4" s="67"/>
      <c r="C4" s="7"/>
      <c r="D4" s="7"/>
      <c r="E4" s="7"/>
      <c r="F4" s="7"/>
    </row>
    <row r="5" spans="1:6" x14ac:dyDescent="0.25">
      <c r="A5" s="46" t="s">
        <v>2</v>
      </c>
      <c r="B5" s="46" t="s">
        <v>3</v>
      </c>
      <c r="C5" s="7"/>
      <c r="D5" s="7"/>
      <c r="E5" s="7"/>
      <c r="F5" s="7"/>
    </row>
    <row r="6" spans="1:6" x14ac:dyDescent="0.25">
      <c r="A6" s="47" t="s">
        <v>4</v>
      </c>
      <c r="B6" s="68">
        <v>250</v>
      </c>
      <c r="C6" s="7"/>
      <c r="D6" s="7"/>
      <c r="E6" s="7"/>
      <c r="F6" s="7"/>
    </row>
    <row r="7" spans="1:6" x14ac:dyDescent="0.25">
      <c r="A7" s="46" t="s">
        <v>5</v>
      </c>
      <c r="B7" s="46" t="s">
        <v>6</v>
      </c>
      <c r="C7" s="7"/>
      <c r="D7" s="7"/>
      <c r="E7" s="7"/>
      <c r="F7" s="7"/>
    </row>
    <row r="8" spans="1:6" x14ac:dyDescent="0.25">
      <c r="A8" s="47" t="s">
        <v>7</v>
      </c>
      <c r="B8" s="68">
        <v>50000</v>
      </c>
      <c r="C8" s="7"/>
      <c r="D8" s="7"/>
      <c r="E8" s="7"/>
      <c r="F8" s="7"/>
    </row>
    <row r="9" spans="1:6" x14ac:dyDescent="0.25">
      <c r="A9" s="46" t="s">
        <v>8</v>
      </c>
      <c r="B9" s="69">
        <v>46037</v>
      </c>
      <c r="C9" s="7"/>
      <c r="D9" s="7"/>
      <c r="E9" s="7"/>
      <c r="F9" s="7"/>
    </row>
    <row r="10" spans="1:6" x14ac:dyDescent="0.25">
      <c r="A10" s="47" t="s">
        <v>9</v>
      </c>
      <c r="B10" s="70">
        <v>25</v>
      </c>
      <c r="C10" s="7"/>
      <c r="D10" s="7"/>
      <c r="E10" s="7"/>
      <c r="F10" s="7"/>
    </row>
    <row r="11" spans="1:6" x14ac:dyDescent="0.25">
      <c r="A11" s="46" t="s">
        <v>10</v>
      </c>
      <c r="B11" s="69">
        <v>55170</v>
      </c>
      <c r="C11" s="7"/>
      <c r="D11" s="7"/>
      <c r="E11" s="7"/>
      <c r="F11" s="7"/>
    </row>
    <row r="12" spans="1:6" x14ac:dyDescent="0.25">
      <c r="A12" s="47" t="s">
        <v>11</v>
      </c>
      <c r="B12" s="71">
        <v>0.5</v>
      </c>
      <c r="C12" s="7"/>
      <c r="D12" s="7"/>
      <c r="E12" s="7"/>
      <c r="F12" s="7"/>
    </row>
    <row r="13" spans="1:6" x14ac:dyDescent="0.25">
      <c r="A13" s="46" t="s">
        <v>12</v>
      </c>
      <c r="B13" s="72">
        <v>0.02</v>
      </c>
      <c r="C13" s="7"/>
      <c r="D13" s="7"/>
      <c r="E13" s="7"/>
      <c r="F13" s="7"/>
    </row>
    <row r="14" spans="1:6" x14ac:dyDescent="0.25">
      <c r="A14" s="47" t="s">
        <v>13</v>
      </c>
      <c r="B14" s="71">
        <v>0.1</v>
      </c>
      <c r="C14" s="7"/>
      <c r="D14" s="7"/>
      <c r="E14" s="7"/>
      <c r="F14" s="7"/>
    </row>
    <row r="15" spans="1:6" x14ac:dyDescent="0.25">
      <c r="A15" s="46" t="s">
        <v>14</v>
      </c>
      <c r="B15" s="46" t="s">
        <v>15</v>
      </c>
      <c r="C15" s="7"/>
      <c r="D15" s="7"/>
      <c r="E15" s="7"/>
      <c r="F15" s="7"/>
    </row>
    <row r="16" spans="1:6" x14ac:dyDescent="0.25">
      <c r="A16" s="47" t="s">
        <v>16</v>
      </c>
      <c r="B16" s="71">
        <v>1.5</v>
      </c>
      <c r="C16" s="7"/>
      <c r="D16" s="7"/>
      <c r="E16" s="7"/>
      <c r="F16" s="7"/>
    </row>
    <row r="17" spans="1:6" x14ac:dyDescent="0.25">
      <c r="A17" s="46" t="s">
        <v>17</v>
      </c>
      <c r="B17" s="72">
        <v>6</v>
      </c>
      <c r="C17" s="7"/>
      <c r="D17" s="7"/>
      <c r="E17" s="7"/>
      <c r="F17" s="7"/>
    </row>
    <row r="18" spans="1:6" x14ac:dyDescent="0.25">
      <c r="A18" s="47" t="s">
        <v>18</v>
      </c>
      <c r="B18" s="71">
        <v>0.06</v>
      </c>
      <c r="C18" s="7"/>
      <c r="D18" s="7"/>
      <c r="E18" s="7"/>
      <c r="F18" s="7"/>
    </row>
    <row r="19" spans="1:6" x14ac:dyDescent="0.25">
      <c r="A19" s="46" t="s">
        <v>19</v>
      </c>
      <c r="B19" s="72">
        <v>0.05</v>
      </c>
      <c r="C19" s="7"/>
      <c r="D19" s="7"/>
      <c r="E19" s="7"/>
      <c r="F19" s="7"/>
    </row>
    <row r="20" spans="1:6" x14ac:dyDescent="0.25">
      <c r="A20" s="47" t="s">
        <v>20</v>
      </c>
      <c r="B20" s="71">
        <v>0.01</v>
      </c>
      <c r="C20" s="7"/>
      <c r="D20" s="7"/>
      <c r="E20" s="7"/>
      <c r="F20" s="7"/>
    </row>
    <row r="21" spans="1:6" x14ac:dyDescent="0.25">
      <c r="A21" s="46" t="s">
        <v>21</v>
      </c>
      <c r="B21" s="73">
        <v>1.2500000000000001E-2</v>
      </c>
      <c r="C21" s="7"/>
      <c r="D21" s="7"/>
      <c r="E21" s="7"/>
      <c r="F21" s="7"/>
    </row>
    <row r="22" spans="1:6" x14ac:dyDescent="0.25">
      <c r="A22" s="47" t="s">
        <v>22</v>
      </c>
      <c r="B22" s="47" t="s">
        <v>23</v>
      </c>
      <c r="C22" s="7"/>
      <c r="D22" s="7"/>
      <c r="E22" s="7"/>
      <c r="F22" s="7"/>
    </row>
    <row r="23" spans="1:6" x14ac:dyDescent="0.25">
      <c r="A23" s="46" t="s">
        <v>24</v>
      </c>
      <c r="B23" s="46" t="s">
        <v>25</v>
      </c>
      <c r="C23" s="7"/>
      <c r="D23" s="7"/>
      <c r="E23" s="7"/>
      <c r="F23" s="7"/>
    </row>
    <row r="24" spans="1:6" x14ac:dyDescent="0.25">
      <c r="A24" s="47" t="s">
        <v>26</v>
      </c>
      <c r="B24" s="47" t="s">
        <v>27</v>
      </c>
      <c r="C24" s="7"/>
      <c r="D24" s="7"/>
      <c r="E24" s="7"/>
      <c r="F24" s="7"/>
    </row>
    <row r="25" spans="1:6" x14ac:dyDescent="0.25">
      <c r="A25" s="7"/>
      <c r="B25" s="7"/>
      <c r="C25" s="7"/>
      <c r="D25" s="7"/>
      <c r="E25" s="7"/>
      <c r="F25" s="7"/>
    </row>
    <row r="26" spans="1:6" x14ac:dyDescent="0.25">
      <c r="A26" s="67" t="s">
        <v>28</v>
      </c>
      <c r="B26" s="67"/>
      <c r="C26" s="7"/>
      <c r="D26" s="7"/>
      <c r="E26" s="7"/>
      <c r="F26" s="7"/>
    </row>
    <row r="27" spans="1:6" x14ac:dyDescent="0.25">
      <c r="A27" s="46" t="s">
        <v>29</v>
      </c>
      <c r="B27" s="74">
        <v>2950</v>
      </c>
      <c r="C27" s="7"/>
      <c r="D27" s="7"/>
      <c r="E27" s="7"/>
      <c r="F27" s="7"/>
    </row>
    <row r="28" spans="1:6" x14ac:dyDescent="0.25">
      <c r="A28" s="47" t="s">
        <v>30</v>
      </c>
      <c r="B28" s="71">
        <v>0.04</v>
      </c>
      <c r="C28" s="7"/>
      <c r="D28" s="7"/>
      <c r="E28" s="7"/>
      <c r="F28" s="7"/>
    </row>
    <row r="29" spans="1:6" x14ac:dyDescent="0.25">
      <c r="A29" s="46" t="s">
        <v>31</v>
      </c>
      <c r="B29" s="72">
        <v>7.0000000000000007E-2</v>
      </c>
      <c r="C29" s="7"/>
      <c r="D29" s="7"/>
      <c r="E29" s="7"/>
      <c r="F29" s="7"/>
    </row>
    <row r="30" spans="1:6" x14ac:dyDescent="0.25">
      <c r="A30" s="47" t="s">
        <v>32</v>
      </c>
      <c r="B30" s="71">
        <v>0.01</v>
      </c>
      <c r="C30" s="7"/>
      <c r="D30" s="7"/>
      <c r="E30" s="7"/>
      <c r="F30" s="7"/>
    </row>
    <row r="31" spans="1:6" x14ac:dyDescent="0.25">
      <c r="A31" s="46" t="s">
        <v>33</v>
      </c>
      <c r="B31" s="75">
        <v>0.99990000000000001</v>
      </c>
      <c r="C31" s="7"/>
      <c r="D31" s="7"/>
      <c r="E31" s="7"/>
      <c r="F31" s="7"/>
    </row>
    <row r="32" spans="1:6" x14ac:dyDescent="0.25">
      <c r="A32" s="47" t="s">
        <v>34</v>
      </c>
      <c r="B32" s="76">
        <v>2E-3</v>
      </c>
      <c r="C32" s="7"/>
      <c r="D32" s="7"/>
      <c r="E32" s="7"/>
      <c r="F32" s="7"/>
    </row>
    <row r="33" spans="1:6" ht="17.25" thickBot="1" x14ac:dyDescent="0.3">
      <c r="A33" s="46" t="s">
        <v>35</v>
      </c>
      <c r="B33" s="77">
        <v>0.9</v>
      </c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67" t="s">
        <v>36</v>
      </c>
      <c r="B35" s="67"/>
      <c r="C35" s="67"/>
      <c r="D35" s="67"/>
      <c r="E35" s="67"/>
      <c r="F35" s="67"/>
    </row>
    <row r="36" spans="1:6" ht="30.75" x14ac:dyDescent="0.25">
      <c r="A36" s="78" t="s">
        <v>37</v>
      </c>
      <c r="B36" s="79" t="s">
        <v>38</v>
      </c>
      <c r="C36" s="79" t="s">
        <v>39</v>
      </c>
      <c r="D36" s="79" t="s">
        <v>40</v>
      </c>
      <c r="E36" s="79" t="s">
        <v>41</v>
      </c>
      <c r="F36" s="80" t="s">
        <v>42</v>
      </c>
    </row>
    <row r="37" spans="1:6" x14ac:dyDescent="0.25">
      <c r="A37" s="81" t="s">
        <v>43</v>
      </c>
      <c r="B37" s="82">
        <v>13500</v>
      </c>
      <c r="C37" s="82">
        <v>31500</v>
      </c>
      <c r="D37" s="82">
        <v>615000</v>
      </c>
      <c r="E37" s="82">
        <v>21500</v>
      </c>
      <c r="F37" s="83" t="s">
        <v>44</v>
      </c>
    </row>
    <row r="38" spans="1:6" x14ac:dyDescent="0.25">
      <c r="A38" s="84" t="s">
        <v>45</v>
      </c>
      <c r="B38" s="85">
        <v>60</v>
      </c>
      <c r="C38" s="85">
        <v>96</v>
      </c>
      <c r="D38" s="85">
        <v>180</v>
      </c>
      <c r="E38" s="85">
        <v>60</v>
      </c>
      <c r="F38" s="86" t="s">
        <v>46</v>
      </c>
    </row>
    <row r="39" spans="1:6" x14ac:dyDescent="0.25">
      <c r="A39" s="81" t="s">
        <v>47</v>
      </c>
      <c r="B39" s="82">
        <v>8200</v>
      </c>
      <c r="C39" s="82">
        <v>14700</v>
      </c>
      <c r="D39" s="82">
        <v>87000</v>
      </c>
      <c r="E39" s="82">
        <v>8900</v>
      </c>
      <c r="F39" s="83" t="s">
        <v>44</v>
      </c>
    </row>
    <row r="40" spans="1:6" x14ac:dyDescent="0.25">
      <c r="A40" s="84" t="s">
        <v>48</v>
      </c>
      <c r="B40" s="87">
        <v>0.08</v>
      </c>
      <c r="C40" s="87">
        <v>0.1</v>
      </c>
      <c r="D40" s="87">
        <v>0.12</v>
      </c>
      <c r="E40" s="87">
        <v>0.1</v>
      </c>
      <c r="F40" s="86"/>
    </row>
    <row r="41" spans="1:6" x14ac:dyDescent="0.25">
      <c r="A41" s="81" t="s">
        <v>49</v>
      </c>
      <c r="B41" s="88">
        <v>0.113</v>
      </c>
      <c r="C41" s="88">
        <v>9.8000000000000004E-2</v>
      </c>
      <c r="D41" s="88">
        <v>8.1000000000000003E-2</v>
      </c>
      <c r="E41" s="88">
        <v>0.11899999999999999</v>
      </c>
      <c r="F41" s="83"/>
    </row>
    <row r="42" spans="1:6" x14ac:dyDescent="0.25">
      <c r="A42" s="84" t="s">
        <v>50</v>
      </c>
      <c r="B42" s="89">
        <v>9.1999999999999993</v>
      </c>
      <c r="C42" s="89">
        <v>12.5</v>
      </c>
      <c r="D42" s="89">
        <v>18</v>
      </c>
      <c r="E42" s="89">
        <v>12</v>
      </c>
      <c r="F42" s="86" t="s">
        <v>51</v>
      </c>
    </row>
    <row r="43" spans="1:6" x14ac:dyDescent="0.25">
      <c r="A43" s="81" t="s">
        <v>52</v>
      </c>
      <c r="B43" s="88">
        <v>0.65</v>
      </c>
      <c r="C43" s="88">
        <v>0.375</v>
      </c>
      <c r="D43" s="88">
        <v>0.22500000000000001</v>
      </c>
      <c r="E43" s="88">
        <v>0.55000000000000004</v>
      </c>
      <c r="F43" s="83"/>
    </row>
    <row r="44" spans="1:6" x14ac:dyDescent="0.25">
      <c r="A44" s="84" t="s">
        <v>53</v>
      </c>
      <c r="B44" s="90">
        <v>2100</v>
      </c>
      <c r="C44" s="90">
        <v>4200</v>
      </c>
      <c r="D44" s="90">
        <v>38000</v>
      </c>
      <c r="E44" s="90">
        <v>2100</v>
      </c>
      <c r="F44" s="86" t="s">
        <v>44</v>
      </c>
    </row>
    <row r="45" spans="1:6" x14ac:dyDescent="0.25">
      <c r="A45" s="81" t="s">
        <v>54</v>
      </c>
      <c r="B45" s="82">
        <v>1400</v>
      </c>
      <c r="C45" s="82">
        <v>2800</v>
      </c>
      <c r="D45" s="82">
        <v>28000</v>
      </c>
      <c r="E45" s="82">
        <v>1400</v>
      </c>
      <c r="F45" s="83" t="s">
        <v>44</v>
      </c>
    </row>
    <row r="46" spans="1:6" x14ac:dyDescent="0.25">
      <c r="A46" s="84" t="s">
        <v>55</v>
      </c>
      <c r="B46" s="91" t="s">
        <v>56</v>
      </c>
      <c r="C46" s="91" t="s">
        <v>57</v>
      </c>
      <c r="D46" s="91" t="s">
        <v>58</v>
      </c>
      <c r="E46" s="91" t="s">
        <v>57</v>
      </c>
      <c r="F46" s="86"/>
    </row>
    <row r="47" spans="1:6" x14ac:dyDescent="0.25">
      <c r="A47" s="81" t="s">
        <v>59</v>
      </c>
      <c r="B47" s="92" t="s">
        <v>56</v>
      </c>
      <c r="C47" s="92" t="s">
        <v>60</v>
      </c>
      <c r="D47" s="92" t="s">
        <v>58</v>
      </c>
      <c r="E47" s="92" t="s">
        <v>61</v>
      </c>
      <c r="F47" s="83"/>
    </row>
    <row r="48" spans="1:6" x14ac:dyDescent="0.25">
      <c r="A48" s="84" t="s">
        <v>62</v>
      </c>
      <c r="B48" s="91" t="s">
        <v>63</v>
      </c>
      <c r="C48" s="91" t="s">
        <v>60</v>
      </c>
      <c r="D48" s="91" t="s">
        <v>64</v>
      </c>
      <c r="E48" s="91" t="s">
        <v>57</v>
      </c>
      <c r="F48" s="86"/>
    </row>
    <row r="49" spans="1:6" ht="17.25" thickBot="1" x14ac:dyDescent="0.3">
      <c r="A49" s="93" t="s">
        <v>65</v>
      </c>
      <c r="B49" s="94">
        <v>0.12</v>
      </c>
      <c r="C49" s="94">
        <v>0.12</v>
      </c>
      <c r="D49" s="94">
        <v>0.12</v>
      </c>
      <c r="E49" s="94">
        <v>0.12</v>
      </c>
      <c r="F49" s="95"/>
    </row>
    <row r="50" spans="1:6" x14ac:dyDescent="0.25">
      <c r="A50" s="7"/>
      <c r="B50" s="7"/>
      <c r="C50" s="7"/>
      <c r="D50" s="7"/>
      <c r="E50" s="7"/>
      <c r="F50" s="7"/>
    </row>
    <row r="51" spans="1:6" x14ac:dyDescent="0.25">
      <c r="A51" s="67" t="s">
        <v>66</v>
      </c>
      <c r="B51" s="67"/>
      <c r="C51" s="67"/>
      <c r="D51" s="67"/>
      <c r="E51" s="7"/>
      <c r="F51" s="7"/>
    </row>
    <row r="52" spans="1:6" x14ac:dyDescent="0.25">
      <c r="A52" s="63" t="s">
        <v>67</v>
      </c>
      <c r="B52" s="96" t="s">
        <v>68</v>
      </c>
      <c r="C52" s="96" t="s">
        <v>69</v>
      </c>
      <c r="D52" s="63" t="s">
        <v>70</v>
      </c>
      <c r="E52" s="7"/>
      <c r="F52" s="7"/>
    </row>
    <row r="53" spans="1:6" x14ac:dyDescent="0.25">
      <c r="A53" s="46" t="s">
        <v>71</v>
      </c>
      <c r="B53" s="72">
        <v>0.18</v>
      </c>
      <c r="C53" s="72">
        <v>0.2</v>
      </c>
      <c r="D53" s="46" t="s">
        <v>72</v>
      </c>
      <c r="E53" s="7"/>
      <c r="F53" s="7"/>
    </row>
    <row r="54" spans="1:6" x14ac:dyDescent="0.25">
      <c r="A54" s="47" t="s">
        <v>73</v>
      </c>
      <c r="B54" s="71">
        <v>0.11</v>
      </c>
      <c r="C54" s="71">
        <v>0.45</v>
      </c>
      <c r="D54" s="47" t="s">
        <v>74</v>
      </c>
      <c r="E54" s="7"/>
      <c r="F54" s="7"/>
    </row>
    <row r="55" spans="1:6" x14ac:dyDescent="0.25">
      <c r="A55" s="46" t="s">
        <v>75</v>
      </c>
      <c r="B55" s="72">
        <v>0.03</v>
      </c>
      <c r="C55" s="72">
        <v>0.35</v>
      </c>
      <c r="D55" s="46" t="s">
        <v>76</v>
      </c>
      <c r="E55" s="7"/>
      <c r="F55" s="7"/>
    </row>
    <row r="56" spans="1:6" x14ac:dyDescent="0.25">
      <c r="A56" s="7"/>
      <c r="B56" s="7"/>
      <c r="C56" s="7"/>
      <c r="D56" s="7"/>
      <c r="E56" s="7"/>
      <c r="F56" s="7"/>
    </row>
    <row r="57" spans="1:6" x14ac:dyDescent="0.25">
      <c r="A57" s="67" t="s">
        <v>77</v>
      </c>
      <c r="B57" s="67"/>
      <c r="C57" s="7"/>
      <c r="D57" s="7"/>
      <c r="E57" s="7"/>
      <c r="F57" s="7"/>
    </row>
    <row r="58" spans="1:6" ht="17.25" thickBot="1" x14ac:dyDescent="0.3">
      <c r="A58" s="46" t="s">
        <v>78</v>
      </c>
      <c r="B58" s="77">
        <v>0.08</v>
      </c>
      <c r="C58" s="7"/>
      <c r="D58" s="7"/>
      <c r="E58" s="7"/>
      <c r="F58" s="7"/>
    </row>
    <row r="59" spans="1:6" x14ac:dyDescent="0.25">
      <c r="A59" s="47" t="s">
        <v>79</v>
      </c>
      <c r="B59" s="71">
        <v>4.4999999999999998E-2</v>
      </c>
      <c r="C59" s="7"/>
      <c r="D59" s="7"/>
      <c r="E59" s="7"/>
      <c r="F59" s="7"/>
    </row>
    <row r="60" spans="1:6" x14ac:dyDescent="0.25">
      <c r="A60" s="46" t="s">
        <v>80</v>
      </c>
      <c r="B60" s="72">
        <v>2.5000000000000001E-2</v>
      </c>
      <c r="C60" s="7"/>
      <c r="D60" s="7"/>
      <c r="E60" s="7"/>
      <c r="F60" s="7"/>
    </row>
    <row r="61" spans="1:6" x14ac:dyDescent="0.25">
      <c r="A61" s="47" t="s">
        <v>81</v>
      </c>
      <c r="B61" s="97">
        <v>1.05</v>
      </c>
      <c r="C61" s="7"/>
      <c r="D61" s="7"/>
      <c r="E61" s="7"/>
      <c r="F61" s="7"/>
    </row>
    <row r="62" spans="1:6" x14ac:dyDescent="0.25">
      <c r="A62" s="46" t="s">
        <v>82</v>
      </c>
      <c r="B62" s="72">
        <v>2.5000000000000001E-2</v>
      </c>
      <c r="C62" s="7"/>
      <c r="D62" s="7"/>
      <c r="E62" s="7"/>
      <c r="F62" s="7"/>
    </row>
    <row r="63" spans="1:6" x14ac:dyDescent="0.25">
      <c r="A63" s="47" t="s">
        <v>83</v>
      </c>
      <c r="B63" s="76">
        <v>1E-4</v>
      </c>
      <c r="C63" s="7"/>
      <c r="D63" s="7"/>
      <c r="E63" s="7"/>
      <c r="F63" s="7"/>
    </row>
    <row r="64" spans="1:6" x14ac:dyDescent="0.25">
      <c r="A64" s="7"/>
      <c r="B64" s="7"/>
      <c r="C64" s="7"/>
      <c r="D64" s="7"/>
      <c r="E64" s="7"/>
      <c r="F64" s="7"/>
    </row>
    <row r="65" spans="1:6" x14ac:dyDescent="0.25">
      <c r="A65" s="67" t="s">
        <v>84</v>
      </c>
      <c r="B65" s="67"/>
      <c r="C65" s="7"/>
      <c r="D65" s="7"/>
      <c r="E65" s="7"/>
      <c r="F65" s="7"/>
    </row>
    <row r="66" spans="1:6" x14ac:dyDescent="0.25">
      <c r="A66" s="46" t="s">
        <v>85</v>
      </c>
      <c r="B66" s="98">
        <v>129590.13</v>
      </c>
      <c r="C66" s="7"/>
      <c r="D66" s="7"/>
      <c r="E66" s="7"/>
      <c r="F66" s="7"/>
    </row>
    <row r="67" spans="1:6" x14ac:dyDescent="0.25">
      <c r="A67" s="47" t="s">
        <v>86</v>
      </c>
      <c r="B67" s="99">
        <v>12500</v>
      </c>
      <c r="C67" s="7"/>
      <c r="D67" s="7"/>
      <c r="E67" s="7"/>
      <c r="F67" s="7"/>
    </row>
    <row r="68" spans="1:6" x14ac:dyDescent="0.25">
      <c r="A68" s="46" t="s">
        <v>87</v>
      </c>
      <c r="B68" s="98">
        <v>116326.33</v>
      </c>
      <c r="C68" s="7"/>
      <c r="D68" s="7"/>
      <c r="E68" s="7"/>
      <c r="F68" s="7"/>
    </row>
    <row r="69" spans="1:6" x14ac:dyDescent="0.25">
      <c r="A69" s="47" t="s">
        <v>88</v>
      </c>
      <c r="B69" s="99">
        <v>25000</v>
      </c>
      <c r="C69" s="7"/>
      <c r="D69" s="7"/>
      <c r="E69" s="7"/>
      <c r="F69" s="7"/>
    </row>
    <row r="70" spans="1:6" x14ac:dyDescent="0.25">
      <c r="A70" s="46" t="s">
        <v>89</v>
      </c>
      <c r="B70" s="100">
        <v>-15635.07</v>
      </c>
      <c r="C70" s="7"/>
      <c r="D70" s="7"/>
      <c r="E70" s="7"/>
      <c r="F70" s="7"/>
    </row>
    <row r="71" spans="1:6" x14ac:dyDescent="0.25">
      <c r="A71" s="47" t="s">
        <v>90</v>
      </c>
      <c r="B71" s="101">
        <v>9364.93</v>
      </c>
      <c r="C71" s="7"/>
      <c r="D71" s="7"/>
      <c r="E71" s="7"/>
      <c r="F71" s="7"/>
    </row>
    <row r="72" spans="1:6" x14ac:dyDescent="0.25">
      <c r="A72" s="46" t="s">
        <v>91</v>
      </c>
      <c r="B72" s="98">
        <v>120025.2</v>
      </c>
      <c r="C72" s="7"/>
      <c r="D72" s="7"/>
      <c r="E72" s="7"/>
      <c r="F72" s="7"/>
    </row>
    <row r="73" spans="1:6" x14ac:dyDescent="0.25">
      <c r="A73" s="47" t="s">
        <v>92</v>
      </c>
      <c r="B73" s="99">
        <v>120225.2</v>
      </c>
      <c r="C73" s="7"/>
      <c r="D73" s="7"/>
      <c r="E73" s="7"/>
      <c r="F73" s="7"/>
    </row>
    <row r="74" spans="1:6" x14ac:dyDescent="0.25">
      <c r="A74" s="46" t="s">
        <v>93</v>
      </c>
      <c r="B74" s="102">
        <v>65858600</v>
      </c>
      <c r="C74" s="7"/>
      <c r="D74" s="7"/>
      <c r="E74" s="7"/>
      <c r="F74" s="7"/>
    </row>
    <row r="75" spans="1:6" x14ac:dyDescent="0.25">
      <c r="A75" s="47" t="s">
        <v>94</v>
      </c>
      <c r="B75" s="103">
        <v>28114600</v>
      </c>
      <c r="C75" s="7"/>
      <c r="D75" s="7"/>
      <c r="E75" s="7"/>
      <c r="F75" s="7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3B2BC-7789-C841-A89A-A5BAABEE2F26}">
  <sheetPr>
    <tabColor rgb="FF1B3A5C"/>
  </sheetPr>
  <dimension ref="A1:C25"/>
  <sheetViews>
    <sheetView showGridLines="0" workbookViewId="0"/>
  </sheetViews>
  <sheetFormatPr defaultColWidth="10.8515625" defaultRowHeight="16.5" x14ac:dyDescent="0.25"/>
  <cols>
    <col min="1" max="1" width="43.28125" customWidth="1"/>
    <col min="2" max="3" width="21.703125" customWidth="1"/>
  </cols>
  <sheetData>
    <row r="1" spans="1:3" ht="21" x14ac:dyDescent="0.3">
      <c r="A1" s="66" t="s">
        <v>95</v>
      </c>
      <c r="B1" s="7"/>
      <c r="C1" s="7"/>
    </row>
    <row r="2" spans="1:3" x14ac:dyDescent="0.25">
      <c r="A2" s="104" t="s">
        <v>96</v>
      </c>
      <c r="B2" s="104"/>
      <c r="C2" s="104"/>
    </row>
    <row r="3" spans="1:3" x14ac:dyDescent="0.25">
      <c r="A3" s="7"/>
      <c r="B3" s="7"/>
      <c r="C3" s="7"/>
    </row>
    <row r="4" spans="1:3" x14ac:dyDescent="0.25">
      <c r="A4" s="105"/>
      <c r="B4" s="106" t="s">
        <v>97</v>
      </c>
      <c r="C4" s="106" t="s">
        <v>98</v>
      </c>
    </row>
    <row r="5" spans="1:3" x14ac:dyDescent="0.25">
      <c r="A5" s="107" t="s">
        <v>99</v>
      </c>
      <c r="B5" s="108">
        <f>Assumptions!B6</f>
        <v>250</v>
      </c>
      <c r="C5" s="109">
        <v>1</v>
      </c>
    </row>
    <row r="6" spans="1:3" x14ac:dyDescent="0.25">
      <c r="A6" s="110" t="s">
        <v>100</v>
      </c>
      <c r="B6" s="111">
        <f>-Assumptions!B6*Assumptions!B20</f>
        <v>-2.5</v>
      </c>
      <c r="C6" s="112">
        <f>B6/B5</f>
        <v>-0.01</v>
      </c>
    </row>
    <row r="7" spans="1:3" x14ac:dyDescent="0.25">
      <c r="A7" s="113" t="s">
        <v>101</v>
      </c>
      <c r="B7" s="114">
        <f>B5+B6</f>
        <v>247.5</v>
      </c>
      <c r="C7" s="115">
        <f>B7/B5</f>
        <v>0.99</v>
      </c>
    </row>
    <row r="8" spans="1:3" x14ac:dyDescent="0.25">
      <c r="A8" s="116"/>
      <c r="B8" s="116"/>
      <c r="C8" s="116"/>
    </row>
    <row r="9" spans="1:3" x14ac:dyDescent="0.25">
      <c r="A9" s="117" t="s">
        <v>102</v>
      </c>
      <c r="B9" s="117"/>
      <c r="C9" s="117"/>
    </row>
    <row r="10" spans="1:3" x14ac:dyDescent="0.25">
      <c r="A10" s="110" t="s">
        <v>103</v>
      </c>
      <c r="B10" s="118">
        <f>B7*Assumptions!B33</f>
        <v>222.75</v>
      </c>
      <c r="C10" s="112">
        <f>B10/B5</f>
        <v>0.89100000000000001</v>
      </c>
    </row>
    <row r="11" spans="1:3" x14ac:dyDescent="0.25">
      <c r="A11" s="119" t="s">
        <v>104</v>
      </c>
      <c r="B11" s="120">
        <f>B7-B10</f>
        <v>24.75</v>
      </c>
      <c r="C11" s="121">
        <f>B11/B5</f>
        <v>9.9000000000000005E-2</v>
      </c>
    </row>
    <row r="12" spans="1:3" x14ac:dyDescent="0.25">
      <c r="A12" s="113" t="s">
        <v>105</v>
      </c>
      <c r="B12" s="114">
        <f>B10+B11</f>
        <v>247.5</v>
      </c>
      <c r="C12" s="115">
        <f>B12/B5</f>
        <v>0.99</v>
      </c>
    </row>
    <row r="13" spans="1:3" x14ac:dyDescent="0.25">
      <c r="A13" s="116"/>
      <c r="B13" s="116"/>
      <c r="C13" s="116"/>
    </row>
    <row r="14" spans="1:3" x14ac:dyDescent="0.25">
      <c r="A14" s="117" t="s">
        <v>106</v>
      </c>
      <c r="B14" s="117"/>
      <c r="C14" s="117"/>
    </row>
    <row r="15" spans="1:3" x14ac:dyDescent="0.25">
      <c r="A15" s="119" t="s">
        <v>107</v>
      </c>
      <c r="B15" s="122">
        <f>B5*Assumptions!B21</f>
        <v>3.125</v>
      </c>
      <c r="C15" s="123">
        <f>B15/B5</f>
        <v>1.2500000000000001E-2</v>
      </c>
    </row>
    <row r="16" spans="1:3" x14ac:dyDescent="0.25">
      <c r="A16" s="110" t="s">
        <v>108</v>
      </c>
      <c r="B16" s="124">
        <f>B5*Assumptions!B63</f>
        <v>2.5000000000000001E-2</v>
      </c>
      <c r="C16" s="125">
        <f>B16/B5</f>
        <v>1E-4</v>
      </c>
    </row>
    <row r="17" spans="1:3" x14ac:dyDescent="0.25">
      <c r="A17" s="119" t="s">
        <v>109</v>
      </c>
      <c r="B17" s="122">
        <f>B10*Assumptions!B32</f>
        <v>0.44550000000000001</v>
      </c>
      <c r="C17" s="123">
        <f>B17/B5</f>
        <v>1.7819999999999999E-3</v>
      </c>
    </row>
    <row r="18" spans="1:3" ht="17.25" thickBot="1" x14ac:dyDescent="0.3">
      <c r="A18" s="126" t="s">
        <v>110</v>
      </c>
      <c r="B18" s="127">
        <f>B15+B16+B17</f>
        <v>3.5954999999999999</v>
      </c>
      <c r="C18" s="128">
        <f>B18/B5</f>
        <v>1.4381999999999999E-2</v>
      </c>
    </row>
    <row r="19" spans="1:3" x14ac:dyDescent="0.25">
      <c r="A19" s="7"/>
      <c r="B19" s="7"/>
      <c r="C19" s="7"/>
    </row>
    <row r="20" spans="1:3" x14ac:dyDescent="0.25">
      <c r="A20" s="129" t="s">
        <v>111</v>
      </c>
      <c r="B20" s="129"/>
      <c r="C20" s="67"/>
    </row>
    <row r="21" spans="1:3" x14ac:dyDescent="0.25">
      <c r="A21" s="119" t="s">
        <v>112</v>
      </c>
      <c r="B21" s="122">
        <f>B10</f>
        <v>222.75</v>
      </c>
      <c r="C21" s="7"/>
    </row>
    <row r="22" spans="1:3" x14ac:dyDescent="0.25">
      <c r="A22" s="110" t="s">
        <v>113</v>
      </c>
      <c r="B22" s="130">
        <f>Assumptions!B27</f>
        <v>2950</v>
      </c>
      <c r="C22" s="7"/>
    </row>
    <row r="23" spans="1:3" x14ac:dyDescent="0.25">
      <c r="A23" s="119" t="s">
        <v>114</v>
      </c>
      <c r="B23" s="131">
        <f>B21*1000000/B22</f>
        <v>75508.474576271183</v>
      </c>
      <c r="C23" s="7"/>
    </row>
    <row r="24" spans="1:3" x14ac:dyDescent="0.25">
      <c r="A24" s="110" t="s">
        <v>115</v>
      </c>
      <c r="B24" s="132">
        <f>B23*31.1035/1000</f>
        <v>2348.5778389830507</v>
      </c>
      <c r="C24" s="7"/>
    </row>
    <row r="25" spans="1:3" ht="17.25" thickBot="1" x14ac:dyDescent="0.3">
      <c r="A25" s="133" t="s">
        <v>116</v>
      </c>
      <c r="B25" s="134">
        <f>INT(B24)</f>
        <v>2348</v>
      </c>
      <c r="C25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75F8C-1241-F944-A410-D5D686D641F6}">
  <sheetPr>
    <tabColor rgb="FFE8B930"/>
  </sheetPr>
  <dimension ref="A1:E35"/>
  <sheetViews>
    <sheetView showGridLines="0" workbookViewId="0">
      <pane ySplit="3" topLeftCell="A4" activePane="bottomLeft" state="frozen"/>
      <selection pane="bottomLeft"/>
    </sheetView>
  </sheetViews>
  <sheetFormatPr defaultColWidth="10.8515625" defaultRowHeight="16.5" x14ac:dyDescent="0.25"/>
  <cols>
    <col min="1" max="1" width="33.29296875" customWidth="1"/>
    <col min="2" max="5" width="23.3046875" customWidth="1"/>
  </cols>
  <sheetData>
    <row r="1" spans="1:5" ht="21" x14ac:dyDescent="0.3">
      <c r="A1" s="66" t="s">
        <v>117</v>
      </c>
      <c r="B1" s="7"/>
      <c r="C1" s="7"/>
      <c r="D1" s="7"/>
      <c r="E1" s="7"/>
    </row>
    <row r="2" spans="1:5" x14ac:dyDescent="0.25">
      <c r="A2" s="7"/>
      <c r="B2" s="7"/>
      <c r="C2" s="7"/>
      <c r="D2" s="7"/>
      <c r="E2" s="7"/>
    </row>
    <row r="3" spans="1:5" ht="26.25" x14ac:dyDescent="0.25">
      <c r="A3" s="135" t="s">
        <v>118</v>
      </c>
      <c r="B3" s="136" t="s">
        <v>119</v>
      </c>
      <c r="C3" s="136" t="s">
        <v>120</v>
      </c>
      <c r="D3" s="136" t="s">
        <v>121</v>
      </c>
      <c r="E3" s="137" t="s">
        <v>122</v>
      </c>
    </row>
    <row r="4" spans="1:5" x14ac:dyDescent="0.25">
      <c r="A4" s="138">
        <v>0</v>
      </c>
      <c r="B4" s="139">
        <f>Assumptions!B27</f>
        <v>2950</v>
      </c>
      <c r="C4" s="139">
        <f>Assumptions!B27</f>
        <v>2950</v>
      </c>
      <c r="D4" s="139">
        <f>Assumptions!B27</f>
        <v>2950</v>
      </c>
      <c r="E4" s="140">
        <f>'Capital Allocation'!B21</f>
        <v>222.75</v>
      </c>
    </row>
    <row r="5" spans="1:5" x14ac:dyDescent="0.25">
      <c r="A5" s="141">
        <v>1</v>
      </c>
      <c r="B5" s="142">
        <f>B4*(1+Assumptions!$B$30)</f>
        <v>2979.5</v>
      </c>
      <c r="C5" s="142">
        <f>C4*(1+Assumptions!$B$28)</f>
        <v>3068</v>
      </c>
      <c r="D5" s="142">
        <f>D4*(1+Assumptions!$B$29)</f>
        <v>3156.5</v>
      </c>
      <c r="E5" s="143">
        <f>'Capital Allocation'!$B$23*C5/1000000</f>
        <v>231.66</v>
      </c>
    </row>
    <row r="6" spans="1:5" x14ac:dyDescent="0.25">
      <c r="A6" s="144">
        <v>2</v>
      </c>
      <c r="B6" s="145">
        <f>B5*(1+Assumptions!$B$30)</f>
        <v>3009.2950000000001</v>
      </c>
      <c r="C6" s="145">
        <f>C5*(1+Assumptions!$B$28)</f>
        <v>3190.7200000000003</v>
      </c>
      <c r="D6" s="145">
        <f>D5*(1+Assumptions!$B$29)</f>
        <v>3377.4550000000004</v>
      </c>
      <c r="E6" s="146">
        <f>'Capital Allocation'!$B$23*C6/1000000</f>
        <v>240.9264</v>
      </c>
    </row>
    <row r="7" spans="1:5" x14ac:dyDescent="0.25">
      <c r="A7" s="141">
        <v>3</v>
      </c>
      <c r="B7" s="142">
        <f>B6*(1+Assumptions!$B$30)</f>
        <v>3039.3879500000003</v>
      </c>
      <c r="C7" s="142">
        <f>C6*(1+Assumptions!$B$28)</f>
        <v>3318.3488000000002</v>
      </c>
      <c r="D7" s="142">
        <f>D6*(1+Assumptions!$B$29)</f>
        <v>3613.8768500000006</v>
      </c>
      <c r="E7" s="143">
        <f>'Capital Allocation'!$B$23*C7/1000000</f>
        <v>250.563456</v>
      </c>
    </row>
    <row r="8" spans="1:5" x14ac:dyDescent="0.25">
      <c r="A8" s="144">
        <v>4</v>
      </c>
      <c r="B8" s="145">
        <f>B7*(1+Assumptions!$B$30)</f>
        <v>3069.7818295000002</v>
      </c>
      <c r="C8" s="145">
        <f>C7*(1+Assumptions!$B$28)</f>
        <v>3451.0827520000003</v>
      </c>
      <c r="D8" s="145">
        <f>D7*(1+Assumptions!$B$29)</f>
        <v>3866.8482295000008</v>
      </c>
      <c r="E8" s="146">
        <f>'Capital Allocation'!$B$23*C8/1000000</f>
        <v>260.58599423999999</v>
      </c>
    </row>
    <row r="9" spans="1:5" x14ac:dyDescent="0.25">
      <c r="A9" s="141">
        <v>5</v>
      </c>
      <c r="B9" s="142">
        <f>B8*(1+Assumptions!$B$30)</f>
        <v>3100.4796477950003</v>
      </c>
      <c r="C9" s="142">
        <f>C8*(1+Assumptions!$B$28)</f>
        <v>3589.1260620800003</v>
      </c>
      <c r="D9" s="142">
        <f>D8*(1+Assumptions!$B$29)</f>
        <v>4137.5276055650011</v>
      </c>
      <c r="E9" s="143">
        <f>'Capital Allocation'!$B$23*C9/1000000</f>
        <v>271.0094340096</v>
      </c>
    </row>
    <row r="10" spans="1:5" x14ac:dyDescent="0.25">
      <c r="A10" s="144">
        <v>6</v>
      </c>
      <c r="B10" s="145">
        <f>B9*(1+Assumptions!$B$30)</f>
        <v>3131.4844442729504</v>
      </c>
      <c r="C10" s="145">
        <f>C9*(1+Assumptions!$B$28)</f>
        <v>3732.6911045632005</v>
      </c>
      <c r="D10" s="145">
        <f>D9*(1+Assumptions!$B$29)</f>
        <v>4427.1545379545514</v>
      </c>
      <c r="E10" s="146">
        <f>'Capital Allocation'!$B$23*C10/1000000</f>
        <v>281.84981136998402</v>
      </c>
    </row>
    <row r="11" spans="1:5" x14ac:dyDescent="0.25">
      <c r="A11" s="141">
        <v>7</v>
      </c>
      <c r="B11" s="142">
        <f>B10*(1+Assumptions!$B$30)</f>
        <v>3162.7992887156802</v>
      </c>
      <c r="C11" s="142">
        <f>C10*(1+Assumptions!$B$28)</f>
        <v>3881.9987487457288</v>
      </c>
      <c r="D11" s="142">
        <f>D10*(1+Assumptions!$B$29)</f>
        <v>4737.05535561137</v>
      </c>
      <c r="E11" s="143">
        <f>'Capital Allocation'!$B$23*C11/1000000</f>
        <v>293.12380382478341</v>
      </c>
    </row>
    <row r="12" spans="1:5" x14ac:dyDescent="0.25">
      <c r="A12" s="144">
        <v>8</v>
      </c>
      <c r="B12" s="145">
        <f>B11*(1+Assumptions!$B$30)</f>
        <v>3194.427281602837</v>
      </c>
      <c r="C12" s="145">
        <f>C11*(1+Assumptions!$B$28)</f>
        <v>4037.278698695558</v>
      </c>
      <c r="D12" s="145">
        <f>D11*(1+Assumptions!$B$29)</f>
        <v>5068.6492305041666</v>
      </c>
      <c r="E12" s="146">
        <f>'Capital Allocation'!$B$23*C12/1000000</f>
        <v>304.84875597777472</v>
      </c>
    </row>
    <row r="13" spans="1:5" x14ac:dyDescent="0.25">
      <c r="A13" s="141">
        <v>9</v>
      </c>
      <c r="B13" s="142">
        <f>B12*(1+Assumptions!$B$30)</f>
        <v>3226.3715544188653</v>
      </c>
      <c r="C13" s="142">
        <f>C12*(1+Assumptions!$B$28)</f>
        <v>4198.7698466433803</v>
      </c>
      <c r="D13" s="142">
        <f>D12*(1+Assumptions!$B$29)</f>
        <v>5423.4546766394587</v>
      </c>
      <c r="E13" s="143">
        <f>'Capital Allocation'!$B$23*C13/1000000</f>
        <v>317.04270621688573</v>
      </c>
    </row>
    <row r="14" spans="1:5" x14ac:dyDescent="0.25">
      <c r="A14" s="144">
        <v>10</v>
      </c>
      <c r="B14" s="145">
        <f>B13*(1+Assumptions!$B$30)</f>
        <v>3258.6352699630538</v>
      </c>
      <c r="C14" s="145">
        <f>C13*(1+Assumptions!$B$28)</f>
        <v>4366.7206405091156</v>
      </c>
      <c r="D14" s="145">
        <f>D13*(1+Assumptions!$B$29)</f>
        <v>5803.0965040042211</v>
      </c>
      <c r="E14" s="146">
        <f>'Capital Allocation'!$B$23*C14/1000000</f>
        <v>329.72441446556115</v>
      </c>
    </row>
    <row r="15" spans="1:5" x14ac:dyDescent="0.25">
      <c r="A15" s="141">
        <v>11</v>
      </c>
      <c r="B15" s="142">
        <f>B14*(1+Assumptions!$B$30)</f>
        <v>3291.2216226626842</v>
      </c>
      <c r="C15" s="142">
        <f>C14*(1+Assumptions!$B$28)</f>
        <v>4541.3894661294808</v>
      </c>
      <c r="D15" s="142">
        <f>D14*(1+Assumptions!$B$29)</f>
        <v>6209.3132592845168</v>
      </c>
      <c r="E15" s="143">
        <f>'Capital Allocation'!$B$23*C15/1000000</f>
        <v>342.9133910441837</v>
      </c>
    </row>
    <row r="16" spans="1:5" x14ac:dyDescent="0.25">
      <c r="A16" s="144">
        <v>12</v>
      </c>
      <c r="B16" s="145">
        <f>B15*(1+Assumptions!$B$30)</f>
        <v>3324.1338388893109</v>
      </c>
      <c r="C16" s="145">
        <f>C15*(1+Assumptions!$B$28)</f>
        <v>4723.0450447746598</v>
      </c>
      <c r="D16" s="145">
        <f>D15*(1+Assumptions!$B$29)</f>
        <v>6643.9651874344336</v>
      </c>
      <c r="E16" s="146">
        <f>'Capital Allocation'!$B$23*C16/1000000</f>
        <v>356.62992668595098</v>
      </c>
    </row>
    <row r="17" spans="1:5" x14ac:dyDescent="0.25">
      <c r="A17" s="141">
        <v>13</v>
      </c>
      <c r="B17" s="142">
        <f>B16*(1+Assumptions!$B$30)</f>
        <v>3357.3751772782039</v>
      </c>
      <c r="C17" s="142">
        <f>C16*(1+Assumptions!$B$28)</f>
        <v>4911.9668465656459</v>
      </c>
      <c r="D17" s="142">
        <f>D16*(1+Assumptions!$B$29)</f>
        <v>7109.0427505548441</v>
      </c>
      <c r="E17" s="143">
        <f>'Capital Allocation'!$B$23*C17/1000000</f>
        <v>370.89512375338899</v>
      </c>
    </row>
    <row r="18" spans="1:5" x14ac:dyDescent="0.25">
      <c r="A18" s="144">
        <v>14</v>
      </c>
      <c r="B18" s="145">
        <f>B17*(1+Assumptions!$B$30)</f>
        <v>3390.948929050986</v>
      </c>
      <c r="C18" s="145">
        <f>C17*(1+Assumptions!$B$28)</f>
        <v>5108.4455204282722</v>
      </c>
      <c r="D18" s="145">
        <f>D17*(1+Assumptions!$B$29)</f>
        <v>7606.6757430936841</v>
      </c>
      <c r="E18" s="146">
        <f>'Capital Allocation'!$B$23*C18/1000000</f>
        <v>385.73092870352457</v>
      </c>
    </row>
    <row r="19" spans="1:5" x14ac:dyDescent="0.25">
      <c r="A19" s="141">
        <v>15</v>
      </c>
      <c r="B19" s="142">
        <f>B18*(1+Assumptions!$B$30)</f>
        <v>3424.858418341496</v>
      </c>
      <c r="C19" s="142">
        <f>C18*(1+Assumptions!$B$28)</f>
        <v>5312.7833412454029</v>
      </c>
      <c r="D19" s="142">
        <f>D18*(1+Assumptions!$B$29)</f>
        <v>8139.1430451102424</v>
      </c>
      <c r="E19" s="143">
        <f>'Capital Allocation'!$B$23*C19/1000000</f>
        <v>401.16016585166557</v>
      </c>
    </row>
    <row r="20" spans="1:5" x14ac:dyDescent="0.25">
      <c r="A20" s="144">
        <v>16</v>
      </c>
      <c r="B20" s="145">
        <f>B19*(1+Assumptions!$B$30)</f>
        <v>3459.107002524911</v>
      </c>
      <c r="C20" s="145">
        <f>C19*(1+Assumptions!$B$28)</f>
        <v>5525.294674895219</v>
      </c>
      <c r="D20" s="145">
        <f>D19*(1+Assumptions!$B$29)</f>
        <v>8708.8830582679602</v>
      </c>
      <c r="E20" s="146">
        <f>'Capital Allocation'!$B$23*C20/1000000</f>
        <v>417.20657248573218</v>
      </c>
    </row>
    <row r="21" spans="1:5" x14ac:dyDescent="0.25">
      <c r="A21" s="141">
        <v>17</v>
      </c>
      <c r="B21" s="142">
        <f>B20*(1+Assumptions!$B$30)</f>
        <v>3493.6980725501603</v>
      </c>
      <c r="C21" s="142">
        <f>C20*(1+Assumptions!$B$28)</f>
        <v>5746.3064618910275</v>
      </c>
      <c r="D21" s="142">
        <f>D20*(1+Assumptions!$B$29)</f>
        <v>9318.5048723467171</v>
      </c>
      <c r="E21" s="143">
        <f>'Capital Allocation'!$B$23*C21/1000000</f>
        <v>433.89483538516146</v>
      </c>
    </row>
    <row r="22" spans="1:5" x14ac:dyDescent="0.25">
      <c r="A22" s="144">
        <v>18</v>
      </c>
      <c r="B22" s="145">
        <f>B21*(1+Assumptions!$B$30)</f>
        <v>3528.6350532756619</v>
      </c>
      <c r="C22" s="145">
        <f>C21*(1+Assumptions!$B$28)</f>
        <v>5976.1587203666686</v>
      </c>
      <c r="D22" s="145">
        <f>D21*(1+Assumptions!$B$29)</f>
        <v>9970.8002134109884</v>
      </c>
      <c r="E22" s="146">
        <f>'Capital Allocation'!$B$23*C22/1000000</f>
        <v>451.25062880056794</v>
      </c>
    </row>
    <row r="23" spans="1:5" x14ac:dyDescent="0.25">
      <c r="A23" s="141">
        <v>19</v>
      </c>
      <c r="B23" s="142">
        <f>B22*(1+Assumptions!$B$30)</f>
        <v>3563.9214038084187</v>
      </c>
      <c r="C23" s="142">
        <f>C22*(1+Assumptions!$B$28)</f>
        <v>6215.2050691813356</v>
      </c>
      <c r="D23" s="142">
        <f>D22*(1+Assumptions!$B$29)</f>
        <v>10668.756228349757</v>
      </c>
      <c r="E23" s="143">
        <f>'Capital Allocation'!$B$23*C23/1000000</f>
        <v>469.30065395259066</v>
      </c>
    </row>
    <row r="24" spans="1:5" x14ac:dyDescent="0.25">
      <c r="A24" s="144">
        <v>20</v>
      </c>
      <c r="B24" s="145">
        <f>B23*(1+Assumptions!$B$30)</f>
        <v>3599.5606178465027</v>
      </c>
      <c r="C24" s="145">
        <f>C23*(1+Assumptions!$B$28)</f>
        <v>6463.8132719485893</v>
      </c>
      <c r="D24" s="145">
        <f>D23*(1+Assumptions!$B$29)</f>
        <v>11415.569164334242</v>
      </c>
      <c r="E24" s="146">
        <f>'Capital Allocation'!$B$23*C24/1000000</f>
        <v>488.07268011069431</v>
      </c>
    </row>
    <row r="25" spans="1:5" x14ac:dyDescent="0.25">
      <c r="A25" s="141">
        <v>21</v>
      </c>
      <c r="B25" s="142">
        <f>B24*(1+Assumptions!$B$30)</f>
        <v>3635.5562240249678</v>
      </c>
      <c r="C25" s="142">
        <f>C24*(1+Assumptions!$B$28)</f>
        <v>6722.3658028265327</v>
      </c>
      <c r="D25" s="142">
        <f>D24*(1+Assumptions!$B$29)</f>
        <v>12214.659005837639</v>
      </c>
      <c r="E25" s="143">
        <f>'Capital Allocation'!$B$23*C25/1000000</f>
        <v>507.59558731512209</v>
      </c>
    </row>
    <row r="26" spans="1:5" x14ac:dyDescent="0.25">
      <c r="A26" s="144">
        <v>22</v>
      </c>
      <c r="B26" s="145">
        <f>B25*(1+Assumptions!$B$30)</f>
        <v>3671.9117862652174</v>
      </c>
      <c r="C26" s="145">
        <f>C25*(1+Assumptions!$B$28)</f>
        <v>6991.2604349395942</v>
      </c>
      <c r="D26" s="145">
        <f>D25*(1+Assumptions!$B$29)</f>
        <v>13069.685136246275</v>
      </c>
      <c r="E26" s="146">
        <f>'Capital Allocation'!$B$23*C26/1000000</f>
        <v>527.89941080772701</v>
      </c>
    </row>
    <row r="27" spans="1:5" x14ac:dyDescent="0.25">
      <c r="A27" s="141">
        <v>23</v>
      </c>
      <c r="B27" s="142">
        <f>B26*(1+Assumptions!$B$30)</f>
        <v>3708.6309041278696</v>
      </c>
      <c r="C27" s="142">
        <f>C26*(1+Assumptions!$B$28)</f>
        <v>7270.9108523371779</v>
      </c>
      <c r="D27" s="142">
        <f>D26*(1+Assumptions!$B$29)</f>
        <v>13984.563095783515</v>
      </c>
      <c r="E27" s="143">
        <f>'Capital Allocation'!$B$23*C27/1000000</f>
        <v>549.01538724003603</v>
      </c>
    </row>
    <row r="28" spans="1:5" x14ac:dyDescent="0.25">
      <c r="A28" s="144">
        <v>24</v>
      </c>
      <c r="B28" s="145">
        <f>B27*(1+Assumptions!$B$30)</f>
        <v>3745.7172131691482</v>
      </c>
      <c r="C28" s="145">
        <f>C27*(1+Assumptions!$B$28)</f>
        <v>7561.7472864306656</v>
      </c>
      <c r="D28" s="145">
        <f>D27*(1+Assumptions!$B$29)</f>
        <v>14963.482512488361</v>
      </c>
      <c r="E28" s="146">
        <f>'Capital Allocation'!$B$23*C28/1000000</f>
        <v>570.97600272963746</v>
      </c>
    </row>
    <row r="29" spans="1:5" ht="17.25" thickBot="1" x14ac:dyDescent="0.3">
      <c r="A29" s="147">
        <v>25</v>
      </c>
      <c r="B29" s="148">
        <f>B28*(1+Assumptions!$B$30)</f>
        <v>3783.1743853008397</v>
      </c>
      <c r="C29" s="148">
        <f>C28*(1+Assumptions!$B$28)</f>
        <v>7864.2171778878928</v>
      </c>
      <c r="D29" s="148">
        <f>D28*(1+Assumptions!$B$29)</f>
        <v>16010.926288362547</v>
      </c>
      <c r="E29" s="149">
        <f>'Capital Allocation'!$B$23*C29/1000000</f>
        <v>593.81504283882305</v>
      </c>
    </row>
    <row r="30" spans="1:5" x14ac:dyDescent="0.25">
      <c r="A30" s="7"/>
      <c r="B30" s="7"/>
      <c r="C30" s="7"/>
      <c r="D30" s="7"/>
      <c r="E30" s="7"/>
    </row>
    <row r="31" spans="1:5" x14ac:dyDescent="0.25">
      <c r="A31" s="129" t="s">
        <v>123</v>
      </c>
      <c r="B31" s="129"/>
      <c r="C31" s="129"/>
      <c r="D31" s="129"/>
      <c r="E31" s="129"/>
    </row>
    <row r="32" spans="1:5" x14ac:dyDescent="0.25">
      <c r="A32" s="119" t="s">
        <v>124</v>
      </c>
      <c r="B32" s="150">
        <f>B29</f>
        <v>3783.1743853008397</v>
      </c>
      <c r="C32" s="150">
        <f>C29</f>
        <v>7864.2171778878928</v>
      </c>
      <c r="D32" s="150">
        <f>D29</f>
        <v>16010.926288362547</v>
      </c>
      <c r="E32" s="119"/>
    </row>
    <row r="33" spans="1:5" x14ac:dyDescent="0.25">
      <c r="A33" s="110" t="s">
        <v>125</v>
      </c>
      <c r="B33" s="112">
        <f>B29/B4-1</f>
        <v>0.28243199501723382</v>
      </c>
      <c r="C33" s="112">
        <f>C29/C4-1</f>
        <v>1.6658363314874212</v>
      </c>
      <c r="D33" s="112">
        <f>D29/D4-1</f>
        <v>4.4274326401228974</v>
      </c>
      <c r="E33" s="110"/>
    </row>
    <row r="34" spans="1:5" x14ac:dyDescent="0.25">
      <c r="A34" s="119" t="s">
        <v>126</v>
      </c>
      <c r="B34" s="120">
        <f>'Capital Allocation'!$B$23*B29/1000000</f>
        <v>285.6617268900888</v>
      </c>
      <c r="C34" s="120">
        <f>'Capital Allocation'!$B$23*C29/1000000</f>
        <v>593.81504283882305</v>
      </c>
      <c r="D34" s="120">
        <f>'Capital Allocation'!$B$23*D29/1000000</f>
        <v>1208.9606205873754</v>
      </c>
      <c r="E34" s="119"/>
    </row>
    <row r="35" spans="1:5" ht="17.25" thickBot="1" x14ac:dyDescent="0.3">
      <c r="A35" s="151" t="s">
        <v>127</v>
      </c>
      <c r="B35" s="151" t="str">
        <f>IF(B34&gt;=Assumptions!B6,"YES ✓","NO ✗")</f>
        <v>YES ✓</v>
      </c>
      <c r="C35" s="151" t="str">
        <f>IF(C34&gt;=Assumptions!B6,"YES ✓","NO ✗")</f>
        <v>YES ✓</v>
      </c>
      <c r="D35" s="151" t="str">
        <f>IF(D34&gt;=Assumptions!B6,"YES ✓","NO ✗")</f>
        <v>YES ✓</v>
      </c>
      <c r="E35" s="15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D672A-8F4A-C541-A657-4B3F444CBB89}">
  <sheetPr>
    <tabColor rgb="FF2E86C1"/>
  </sheetPr>
  <dimension ref="A1:I50"/>
  <sheetViews>
    <sheetView showGridLines="0" workbookViewId="0"/>
  </sheetViews>
  <sheetFormatPr defaultColWidth="10.8515625" defaultRowHeight="16.5" x14ac:dyDescent="0.25"/>
  <cols>
    <col min="1" max="1" width="33.29296875" customWidth="1"/>
    <col min="2" max="9" width="19.9765625" customWidth="1"/>
  </cols>
  <sheetData>
    <row r="1" spans="1:9" ht="21" x14ac:dyDescent="0.3">
      <c r="A1" s="66" t="s">
        <v>128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153" t="s">
        <v>129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x14ac:dyDescent="0.25">
      <c r="A4" s="154" t="s">
        <v>130</v>
      </c>
      <c r="B4" s="154"/>
      <c r="C4" s="154"/>
      <c r="D4" s="154"/>
      <c r="E4" s="154"/>
      <c r="F4" s="154"/>
      <c r="G4" s="154"/>
      <c r="H4" s="154"/>
      <c r="I4" s="154"/>
    </row>
    <row r="5" spans="1:9" ht="26.25" x14ac:dyDescent="0.25">
      <c r="A5" s="155" t="s">
        <v>118</v>
      </c>
      <c r="B5" s="156" t="s">
        <v>131</v>
      </c>
      <c r="C5" s="157" t="s">
        <v>132</v>
      </c>
      <c r="D5" s="156" t="s">
        <v>133</v>
      </c>
      <c r="E5" s="156" t="s">
        <v>134</v>
      </c>
      <c r="F5" s="156" t="s">
        <v>135</v>
      </c>
      <c r="G5" s="157" t="s">
        <v>136</v>
      </c>
      <c r="H5" s="157" t="s">
        <v>137</v>
      </c>
      <c r="I5" s="158" t="s">
        <v>138</v>
      </c>
    </row>
    <row r="6" spans="1:9" x14ac:dyDescent="0.25">
      <c r="A6" s="159">
        <v>1</v>
      </c>
      <c r="B6" s="160">
        <v>-9545</v>
      </c>
      <c r="C6" s="161">
        <v>0</v>
      </c>
      <c r="D6" s="162">
        <v>0</v>
      </c>
      <c r="E6" s="162">
        <v>0</v>
      </c>
      <c r="F6" s="162">
        <v>0</v>
      </c>
      <c r="G6" s="163">
        <v>0</v>
      </c>
      <c r="H6" s="162">
        <v>0</v>
      </c>
      <c r="I6" s="164">
        <v>-9545</v>
      </c>
    </row>
    <row r="7" spans="1:9" x14ac:dyDescent="0.25">
      <c r="A7" s="165">
        <v>2</v>
      </c>
      <c r="B7" s="166">
        <v>0</v>
      </c>
      <c r="C7" s="167">
        <v>1.8</v>
      </c>
      <c r="D7" s="166">
        <v>280</v>
      </c>
      <c r="E7" s="166">
        <v>-77</v>
      </c>
      <c r="F7" s="166">
        <v>203</v>
      </c>
      <c r="G7" s="168">
        <v>0.72499999999999998</v>
      </c>
      <c r="H7" s="166">
        <v>-24</v>
      </c>
      <c r="I7" s="169">
        <v>179</v>
      </c>
    </row>
    <row r="8" spans="1:9" x14ac:dyDescent="0.25">
      <c r="A8" s="159">
        <v>3</v>
      </c>
      <c r="B8" s="162">
        <v>0</v>
      </c>
      <c r="C8" s="161">
        <v>3.5</v>
      </c>
      <c r="D8" s="162">
        <v>560</v>
      </c>
      <c r="E8" s="162">
        <v>-155</v>
      </c>
      <c r="F8" s="162">
        <v>405</v>
      </c>
      <c r="G8" s="163">
        <v>0.7232142857142857</v>
      </c>
      <c r="H8" s="162">
        <v>-47</v>
      </c>
      <c r="I8" s="170">
        <v>358</v>
      </c>
    </row>
    <row r="9" spans="1:9" x14ac:dyDescent="0.25">
      <c r="A9" s="165">
        <v>4</v>
      </c>
      <c r="B9" s="166">
        <v>0</v>
      </c>
      <c r="C9" s="167">
        <v>5.3</v>
      </c>
      <c r="D9" s="166">
        <v>840</v>
      </c>
      <c r="E9" s="166">
        <v>-232</v>
      </c>
      <c r="F9" s="166">
        <v>608</v>
      </c>
      <c r="G9" s="168">
        <v>0.72380952380952379</v>
      </c>
      <c r="H9" s="166">
        <v>-71</v>
      </c>
      <c r="I9" s="169">
        <v>537</v>
      </c>
    </row>
    <row r="10" spans="1:9" x14ac:dyDescent="0.25">
      <c r="A10" s="159">
        <v>5</v>
      </c>
      <c r="B10" s="162">
        <v>0</v>
      </c>
      <c r="C10" s="161">
        <v>7</v>
      </c>
      <c r="D10" s="162">
        <v>1120</v>
      </c>
      <c r="E10" s="162">
        <v>-310</v>
      </c>
      <c r="F10" s="162">
        <v>810</v>
      </c>
      <c r="G10" s="163">
        <v>0.7232142857142857</v>
      </c>
      <c r="H10" s="162">
        <v>-95</v>
      </c>
      <c r="I10" s="170">
        <v>715</v>
      </c>
    </row>
    <row r="11" spans="1:9" x14ac:dyDescent="0.25">
      <c r="A11" s="165">
        <v>6</v>
      </c>
      <c r="B11" s="166">
        <v>0</v>
      </c>
      <c r="C11" s="167">
        <v>8</v>
      </c>
      <c r="D11" s="166">
        <v>1280</v>
      </c>
      <c r="E11" s="166">
        <v>-326</v>
      </c>
      <c r="F11" s="166">
        <v>954</v>
      </c>
      <c r="G11" s="168">
        <v>0.74531250000000004</v>
      </c>
      <c r="H11" s="166">
        <v>-100</v>
      </c>
      <c r="I11" s="169">
        <v>854</v>
      </c>
    </row>
    <row r="12" spans="1:9" x14ac:dyDescent="0.25">
      <c r="A12" s="159">
        <v>7</v>
      </c>
      <c r="B12" s="162">
        <v>0</v>
      </c>
      <c r="C12" s="161">
        <v>9</v>
      </c>
      <c r="D12" s="162">
        <v>1440</v>
      </c>
      <c r="E12" s="162">
        <v>-342</v>
      </c>
      <c r="F12" s="162">
        <v>1098</v>
      </c>
      <c r="G12" s="163">
        <v>0.76249999999999996</v>
      </c>
      <c r="H12" s="162">
        <v>-105</v>
      </c>
      <c r="I12" s="170">
        <v>993</v>
      </c>
    </row>
    <row r="13" spans="1:9" x14ac:dyDescent="0.25">
      <c r="A13" s="165">
        <v>8</v>
      </c>
      <c r="B13" s="166">
        <v>0</v>
      </c>
      <c r="C13" s="167">
        <v>10</v>
      </c>
      <c r="D13" s="166">
        <v>1600</v>
      </c>
      <c r="E13" s="166">
        <v>-357</v>
      </c>
      <c r="F13" s="166">
        <v>1243</v>
      </c>
      <c r="G13" s="168">
        <v>0.77687499999999998</v>
      </c>
      <c r="H13" s="166">
        <v>-110</v>
      </c>
      <c r="I13" s="169">
        <v>1133</v>
      </c>
    </row>
    <row r="14" spans="1:9" x14ac:dyDescent="0.25">
      <c r="A14" s="159">
        <v>9</v>
      </c>
      <c r="B14" s="162">
        <v>0</v>
      </c>
      <c r="C14" s="161">
        <v>11</v>
      </c>
      <c r="D14" s="162">
        <v>1760</v>
      </c>
      <c r="E14" s="162">
        <v>-373</v>
      </c>
      <c r="F14" s="162">
        <v>1387</v>
      </c>
      <c r="G14" s="163">
        <v>0.78806818181818183</v>
      </c>
      <c r="H14" s="162">
        <v>-115</v>
      </c>
      <c r="I14" s="170">
        <v>1272</v>
      </c>
    </row>
    <row r="15" spans="1:9" x14ac:dyDescent="0.25">
      <c r="A15" s="165">
        <v>10</v>
      </c>
      <c r="B15" s="166">
        <v>0</v>
      </c>
      <c r="C15" s="167">
        <v>12</v>
      </c>
      <c r="D15" s="166">
        <v>1920</v>
      </c>
      <c r="E15" s="166">
        <v>-389</v>
      </c>
      <c r="F15" s="166">
        <v>1531</v>
      </c>
      <c r="G15" s="168">
        <v>0.7973958333333333</v>
      </c>
      <c r="H15" s="166">
        <v>-120</v>
      </c>
      <c r="I15" s="169">
        <v>1411</v>
      </c>
    </row>
    <row r="16" spans="1:9" x14ac:dyDescent="0.25">
      <c r="A16" s="159">
        <v>11</v>
      </c>
      <c r="B16" s="162">
        <v>0</v>
      </c>
      <c r="C16" s="161">
        <v>12.6</v>
      </c>
      <c r="D16" s="162">
        <v>2016</v>
      </c>
      <c r="E16" s="162">
        <v>-396</v>
      </c>
      <c r="F16" s="162">
        <v>1620</v>
      </c>
      <c r="G16" s="163">
        <v>0.8035714285714286</v>
      </c>
      <c r="H16" s="162">
        <v>-124</v>
      </c>
      <c r="I16" s="170">
        <v>1496</v>
      </c>
    </row>
    <row r="17" spans="1:9" x14ac:dyDescent="0.25">
      <c r="A17" s="165">
        <v>12</v>
      </c>
      <c r="B17" s="166">
        <v>0</v>
      </c>
      <c r="C17" s="167">
        <v>13.2</v>
      </c>
      <c r="D17" s="166">
        <v>2112</v>
      </c>
      <c r="E17" s="166">
        <v>-403</v>
      </c>
      <c r="F17" s="166">
        <v>1709</v>
      </c>
      <c r="G17" s="168">
        <v>0.80918560606060608</v>
      </c>
      <c r="H17" s="166">
        <v>-128</v>
      </c>
      <c r="I17" s="169">
        <v>1581</v>
      </c>
    </row>
    <row r="18" spans="1:9" x14ac:dyDescent="0.25">
      <c r="A18" s="159">
        <v>13</v>
      </c>
      <c r="B18" s="162">
        <v>0</v>
      </c>
      <c r="C18" s="161">
        <v>13.8</v>
      </c>
      <c r="D18" s="162">
        <v>2208</v>
      </c>
      <c r="E18" s="162">
        <v>-411</v>
      </c>
      <c r="F18" s="162">
        <v>1797</v>
      </c>
      <c r="G18" s="163">
        <v>0.81385869565217395</v>
      </c>
      <c r="H18" s="162">
        <v>-132</v>
      </c>
      <c r="I18" s="170">
        <v>1665</v>
      </c>
    </row>
    <row r="19" spans="1:9" x14ac:dyDescent="0.25">
      <c r="A19" s="165">
        <v>14</v>
      </c>
      <c r="B19" s="166">
        <v>0</v>
      </c>
      <c r="C19" s="167">
        <v>14.4</v>
      </c>
      <c r="D19" s="166">
        <v>2304</v>
      </c>
      <c r="E19" s="166">
        <v>-418</v>
      </c>
      <c r="F19" s="166">
        <v>1886</v>
      </c>
      <c r="G19" s="168">
        <v>0.81857638888888884</v>
      </c>
      <c r="H19" s="166">
        <v>-136</v>
      </c>
      <c r="I19" s="169">
        <v>1750</v>
      </c>
    </row>
    <row r="20" spans="1:9" x14ac:dyDescent="0.25">
      <c r="A20" s="159">
        <v>15</v>
      </c>
      <c r="B20" s="162">
        <v>0</v>
      </c>
      <c r="C20" s="161">
        <v>15</v>
      </c>
      <c r="D20" s="162">
        <v>2400</v>
      </c>
      <c r="E20" s="162">
        <v>-425</v>
      </c>
      <c r="F20" s="162">
        <v>1975</v>
      </c>
      <c r="G20" s="163">
        <v>0.82291666666666663</v>
      </c>
      <c r="H20" s="162">
        <v>-140</v>
      </c>
      <c r="I20" s="170">
        <v>1835</v>
      </c>
    </row>
    <row r="21" spans="1:9" x14ac:dyDescent="0.25">
      <c r="A21" s="165">
        <v>16</v>
      </c>
      <c r="B21" s="166">
        <v>0</v>
      </c>
      <c r="C21" s="167">
        <v>15.6</v>
      </c>
      <c r="D21" s="166">
        <v>2496</v>
      </c>
      <c r="E21" s="166">
        <v>-432</v>
      </c>
      <c r="F21" s="166">
        <v>2064</v>
      </c>
      <c r="G21" s="168">
        <v>0.82692307692307687</v>
      </c>
      <c r="H21" s="166">
        <v>-143</v>
      </c>
      <c r="I21" s="169">
        <v>1921</v>
      </c>
    </row>
    <row r="22" spans="1:9" x14ac:dyDescent="0.25">
      <c r="A22" s="159">
        <v>17</v>
      </c>
      <c r="B22" s="162">
        <v>0</v>
      </c>
      <c r="C22" s="161">
        <v>16.2</v>
      </c>
      <c r="D22" s="162">
        <v>2592</v>
      </c>
      <c r="E22" s="162">
        <v>-440</v>
      </c>
      <c r="F22" s="162">
        <v>2152</v>
      </c>
      <c r="G22" s="163">
        <v>0.83024691358024694</v>
      </c>
      <c r="H22" s="162">
        <v>-146</v>
      </c>
      <c r="I22" s="170">
        <v>2006</v>
      </c>
    </row>
    <row r="23" spans="1:9" x14ac:dyDescent="0.25">
      <c r="A23" s="165">
        <v>18</v>
      </c>
      <c r="B23" s="166">
        <v>0</v>
      </c>
      <c r="C23" s="167">
        <v>16.8</v>
      </c>
      <c r="D23" s="166">
        <v>2688</v>
      </c>
      <c r="E23" s="166">
        <v>-447</v>
      </c>
      <c r="F23" s="166">
        <v>2241</v>
      </c>
      <c r="G23" s="168">
        <v>0.8337053571428571</v>
      </c>
      <c r="H23" s="166">
        <v>-149</v>
      </c>
      <c r="I23" s="169">
        <v>2092</v>
      </c>
    </row>
    <row r="24" spans="1:9" x14ac:dyDescent="0.25">
      <c r="A24" s="159">
        <v>19</v>
      </c>
      <c r="B24" s="162">
        <v>0</v>
      </c>
      <c r="C24" s="161">
        <v>17.399999999999999</v>
      </c>
      <c r="D24" s="162">
        <v>2784</v>
      </c>
      <c r="E24" s="162">
        <v>-455</v>
      </c>
      <c r="F24" s="162">
        <v>2329</v>
      </c>
      <c r="G24" s="163">
        <v>0.83656609195402298</v>
      </c>
      <c r="H24" s="162">
        <v>-152</v>
      </c>
      <c r="I24" s="170">
        <v>2177</v>
      </c>
    </row>
    <row r="25" spans="1:9" x14ac:dyDescent="0.25">
      <c r="A25" s="165">
        <v>20</v>
      </c>
      <c r="B25" s="166">
        <v>0</v>
      </c>
      <c r="C25" s="167">
        <v>18</v>
      </c>
      <c r="D25" s="166">
        <v>2880</v>
      </c>
      <c r="E25" s="166">
        <v>-462</v>
      </c>
      <c r="F25" s="166">
        <v>2418</v>
      </c>
      <c r="G25" s="168">
        <v>0.83958333333333335</v>
      </c>
      <c r="H25" s="166">
        <v>-155</v>
      </c>
      <c r="I25" s="169">
        <v>2263</v>
      </c>
    </row>
    <row r="26" spans="1:9" x14ac:dyDescent="0.25">
      <c r="A26" s="159">
        <v>21</v>
      </c>
      <c r="B26" s="162">
        <v>0</v>
      </c>
      <c r="C26" s="161">
        <v>18.399999999999999</v>
      </c>
      <c r="D26" s="162">
        <v>2944</v>
      </c>
      <c r="E26" s="162">
        <v>-468</v>
      </c>
      <c r="F26" s="162">
        <v>2476</v>
      </c>
      <c r="G26" s="163">
        <v>0.84103260869565222</v>
      </c>
      <c r="H26" s="162">
        <v>-157</v>
      </c>
      <c r="I26" s="170">
        <v>2319</v>
      </c>
    </row>
    <row r="27" spans="1:9" x14ac:dyDescent="0.25">
      <c r="A27" s="165">
        <v>22</v>
      </c>
      <c r="B27" s="166">
        <v>0</v>
      </c>
      <c r="C27" s="167">
        <v>18.8</v>
      </c>
      <c r="D27" s="166">
        <v>3008</v>
      </c>
      <c r="E27" s="166">
        <v>-473</v>
      </c>
      <c r="F27" s="166">
        <v>2535</v>
      </c>
      <c r="G27" s="168">
        <v>0.8427526595744681</v>
      </c>
      <c r="H27" s="166">
        <v>-159</v>
      </c>
      <c r="I27" s="169">
        <v>2376</v>
      </c>
    </row>
    <row r="28" spans="1:9" x14ac:dyDescent="0.25">
      <c r="A28" s="159">
        <v>23</v>
      </c>
      <c r="B28" s="162">
        <v>0</v>
      </c>
      <c r="C28" s="161">
        <v>19.2</v>
      </c>
      <c r="D28" s="162">
        <v>3072</v>
      </c>
      <c r="E28" s="162">
        <v>-479</v>
      </c>
      <c r="F28" s="162">
        <v>2593</v>
      </c>
      <c r="G28" s="163">
        <v>0.84407552083333337</v>
      </c>
      <c r="H28" s="162">
        <v>-161</v>
      </c>
      <c r="I28" s="170">
        <v>2432</v>
      </c>
    </row>
    <row r="29" spans="1:9" x14ac:dyDescent="0.25">
      <c r="A29" s="165">
        <v>24</v>
      </c>
      <c r="B29" s="166">
        <v>0</v>
      </c>
      <c r="C29" s="167">
        <v>19.600000000000001</v>
      </c>
      <c r="D29" s="166">
        <v>3136</v>
      </c>
      <c r="E29" s="166">
        <v>-484</v>
      </c>
      <c r="F29" s="166">
        <v>2652</v>
      </c>
      <c r="G29" s="168">
        <v>0.84566326530612246</v>
      </c>
      <c r="H29" s="166">
        <v>-163</v>
      </c>
      <c r="I29" s="169">
        <v>2489</v>
      </c>
    </row>
    <row r="30" spans="1:9" ht="17.25" thickBot="1" x14ac:dyDescent="0.3">
      <c r="A30" s="171">
        <v>25</v>
      </c>
      <c r="B30" s="172">
        <v>0</v>
      </c>
      <c r="C30" s="173">
        <v>20</v>
      </c>
      <c r="D30" s="172">
        <v>3200</v>
      </c>
      <c r="E30" s="172">
        <v>-490</v>
      </c>
      <c r="F30" s="172">
        <v>2710</v>
      </c>
      <c r="G30" s="174">
        <v>0.84687500000000004</v>
      </c>
      <c r="H30" s="172">
        <v>-165</v>
      </c>
      <c r="I30" s="175">
        <v>2545</v>
      </c>
    </row>
    <row r="31" spans="1:9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x14ac:dyDescent="0.25">
      <c r="A32" s="176" t="s">
        <v>139</v>
      </c>
      <c r="B32" s="176"/>
      <c r="C32" s="176"/>
      <c r="D32" s="176"/>
      <c r="E32" s="176"/>
      <c r="F32" s="176"/>
      <c r="G32" s="176"/>
      <c r="H32" s="176"/>
      <c r="I32" s="176"/>
    </row>
    <row r="33" spans="1:9" x14ac:dyDescent="0.25">
      <c r="A33" s="177" t="s">
        <v>140</v>
      </c>
      <c r="B33" s="178">
        <f>SUM(B6:B30)</f>
        <v>-9545</v>
      </c>
      <c r="C33" s="179">
        <f>AVERAGE(C6:C30)</f>
        <v>12.664000000000001</v>
      </c>
      <c r="D33" s="180">
        <f>SUM(D6:D30)</f>
        <v>50640</v>
      </c>
      <c r="E33" s="181">
        <f>SUM(E6:E30)</f>
        <v>-9244</v>
      </c>
      <c r="F33" s="180">
        <f>SUM(F6:F30)</f>
        <v>41396</v>
      </c>
      <c r="G33" s="182">
        <f>F33/D33</f>
        <v>0.81745655608214851</v>
      </c>
      <c r="H33" s="181">
        <f>SUM(H6:H30)</f>
        <v>-2997</v>
      </c>
      <c r="I33" s="181">
        <f>SUM(I6:I30)</f>
        <v>28854</v>
      </c>
    </row>
    <row r="34" spans="1:9" x14ac:dyDescent="0.25">
      <c r="A34" s="7"/>
      <c r="B34" s="7"/>
      <c r="C34" s="7"/>
      <c r="D34" s="7"/>
      <c r="E34" s="7"/>
      <c r="F34" s="7"/>
      <c r="G34" s="7"/>
      <c r="H34" s="7"/>
      <c r="I34" s="7"/>
    </row>
    <row r="35" spans="1:9" x14ac:dyDescent="0.25">
      <c r="A35" s="183" t="s">
        <v>141</v>
      </c>
      <c r="B35" s="183"/>
      <c r="C35" s="183"/>
      <c r="D35" s="183"/>
      <c r="E35" s="183"/>
      <c r="F35" s="183"/>
      <c r="G35" s="183"/>
      <c r="H35" s="183"/>
      <c r="I35" s="184">
        <f>NPV(0.1,I6:I30)</f>
        <v>812.48730911130781</v>
      </c>
    </row>
    <row r="36" spans="1:9" x14ac:dyDescent="0.25">
      <c r="A36" s="183" t="s">
        <v>49</v>
      </c>
      <c r="B36" s="183"/>
      <c r="C36" s="183"/>
      <c r="D36" s="183"/>
      <c r="E36" s="183"/>
      <c r="F36" s="183"/>
      <c r="G36" s="183"/>
      <c r="H36" s="183"/>
      <c r="I36" s="185">
        <f>IRR(I6:I30)</f>
        <v>0.10845599201909994</v>
      </c>
    </row>
    <row r="37" spans="1:9" x14ac:dyDescent="0.25">
      <c r="A37" s="7"/>
      <c r="B37" s="7"/>
      <c r="C37" s="7"/>
      <c r="D37" s="7"/>
      <c r="E37" s="7"/>
      <c r="F37" s="7"/>
      <c r="G37" s="7"/>
      <c r="H37" s="7"/>
      <c r="I37" s="7"/>
    </row>
    <row r="38" spans="1:9" x14ac:dyDescent="0.25">
      <c r="A38" s="154" t="s">
        <v>142</v>
      </c>
      <c r="B38" s="154"/>
      <c r="C38" s="154"/>
      <c r="D38" s="154"/>
      <c r="E38" s="154"/>
      <c r="F38" s="154"/>
      <c r="G38" s="7"/>
      <c r="H38" s="7"/>
      <c r="I38" s="7"/>
    </row>
    <row r="39" spans="1:9" ht="30.75" x14ac:dyDescent="0.25">
      <c r="A39" s="78" t="s">
        <v>143</v>
      </c>
      <c r="B39" s="79" t="s">
        <v>144</v>
      </c>
      <c r="C39" s="79" t="s">
        <v>145</v>
      </c>
      <c r="D39" s="79" t="s">
        <v>146</v>
      </c>
      <c r="E39" s="79" t="s">
        <v>147</v>
      </c>
      <c r="F39" s="80" t="s">
        <v>148</v>
      </c>
      <c r="G39" s="7"/>
      <c r="H39" s="7"/>
      <c r="I39" s="7"/>
    </row>
    <row r="40" spans="1:9" x14ac:dyDescent="0.25">
      <c r="A40" s="81" t="s">
        <v>149</v>
      </c>
      <c r="B40" s="92" t="s">
        <v>150</v>
      </c>
      <c r="C40" s="92" t="s">
        <v>151</v>
      </c>
      <c r="D40" s="92" t="s">
        <v>152</v>
      </c>
      <c r="E40" s="186" t="s">
        <v>153</v>
      </c>
      <c r="F40" s="83" t="s">
        <v>154</v>
      </c>
      <c r="G40" s="7"/>
      <c r="H40" s="7"/>
      <c r="I40" s="7"/>
    </row>
    <row r="41" spans="1:9" x14ac:dyDescent="0.25">
      <c r="A41" s="84" t="s">
        <v>155</v>
      </c>
      <c r="B41" s="91" t="s">
        <v>156</v>
      </c>
      <c r="C41" s="91" t="s">
        <v>157</v>
      </c>
      <c r="D41" s="91" t="s">
        <v>158</v>
      </c>
      <c r="E41" s="186" t="s">
        <v>159</v>
      </c>
      <c r="F41" s="86" t="s">
        <v>160</v>
      </c>
      <c r="G41" s="7"/>
      <c r="H41" s="7"/>
      <c r="I41" s="7"/>
    </row>
    <row r="42" spans="1:9" x14ac:dyDescent="0.25">
      <c r="A42" s="81" t="s">
        <v>49</v>
      </c>
      <c r="B42" s="187">
        <v>0.113</v>
      </c>
      <c r="C42" s="187">
        <v>9.8000000000000004E-2</v>
      </c>
      <c r="D42" s="187">
        <v>8.1000000000000003E-2</v>
      </c>
      <c r="E42" s="188">
        <v>0.11899999999999999</v>
      </c>
      <c r="F42" s="83" t="s">
        <v>161</v>
      </c>
      <c r="G42" s="7"/>
      <c r="H42" s="7"/>
      <c r="I42" s="7"/>
    </row>
    <row r="43" spans="1:9" x14ac:dyDescent="0.25">
      <c r="A43" s="84" t="s">
        <v>162</v>
      </c>
      <c r="B43" s="91">
        <v>9.1999999999999993</v>
      </c>
      <c r="C43" s="91">
        <v>12.5</v>
      </c>
      <c r="D43" s="91" t="s">
        <v>163</v>
      </c>
      <c r="E43" s="186">
        <v>12</v>
      </c>
      <c r="F43" s="86"/>
      <c r="G43" s="7"/>
      <c r="H43" s="7"/>
      <c r="I43" s="7"/>
    </row>
    <row r="44" spans="1:9" x14ac:dyDescent="0.25">
      <c r="A44" s="81" t="s">
        <v>164</v>
      </c>
      <c r="B44" s="92" t="s">
        <v>165</v>
      </c>
      <c r="C44" s="92" t="s">
        <v>166</v>
      </c>
      <c r="D44" s="92" t="s">
        <v>167</v>
      </c>
      <c r="E44" s="186" t="s">
        <v>168</v>
      </c>
      <c r="F44" s="83" t="s">
        <v>169</v>
      </c>
      <c r="G44" s="7"/>
      <c r="H44" s="7"/>
      <c r="I44" s="7"/>
    </row>
    <row r="45" spans="1:9" x14ac:dyDescent="0.25">
      <c r="A45" s="84" t="s">
        <v>52</v>
      </c>
      <c r="B45" s="189">
        <v>0.65</v>
      </c>
      <c r="C45" s="91" t="s">
        <v>170</v>
      </c>
      <c r="D45" s="91" t="s">
        <v>171</v>
      </c>
      <c r="E45" s="190">
        <v>0.55000000000000004</v>
      </c>
      <c r="F45" s="86" t="s">
        <v>172</v>
      </c>
      <c r="G45" s="7"/>
      <c r="H45" s="7"/>
      <c r="I45" s="7"/>
    </row>
    <row r="46" spans="1:9" x14ac:dyDescent="0.25">
      <c r="A46" s="81" t="s">
        <v>59</v>
      </c>
      <c r="B46" s="92" t="s">
        <v>56</v>
      </c>
      <c r="C46" s="92" t="s">
        <v>60</v>
      </c>
      <c r="D46" s="92" t="s">
        <v>58</v>
      </c>
      <c r="E46" s="186" t="s">
        <v>61</v>
      </c>
      <c r="F46" s="83"/>
      <c r="G46" s="7"/>
      <c r="H46" s="7"/>
      <c r="I46" s="7"/>
    </row>
    <row r="47" spans="1:9" x14ac:dyDescent="0.25">
      <c r="A47" s="84" t="s">
        <v>55</v>
      </c>
      <c r="B47" s="91" t="s">
        <v>56</v>
      </c>
      <c r="C47" s="91" t="s">
        <v>57</v>
      </c>
      <c r="D47" s="91" t="s">
        <v>58</v>
      </c>
      <c r="E47" s="186" t="s">
        <v>57</v>
      </c>
      <c r="F47" s="86" t="s">
        <v>173</v>
      </c>
      <c r="G47" s="7"/>
      <c r="H47" s="7"/>
      <c r="I47" s="7"/>
    </row>
    <row r="48" spans="1:9" x14ac:dyDescent="0.25">
      <c r="A48" s="81" t="s">
        <v>62</v>
      </c>
      <c r="B48" s="92" t="s">
        <v>63</v>
      </c>
      <c r="C48" s="92" t="s">
        <v>60</v>
      </c>
      <c r="D48" s="92" t="s">
        <v>64</v>
      </c>
      <c r="E48" s="186" t="s">
        <v>57</v>
      </c>
      <c r="F48" s="83" t="s">
        <v>174</v>
      </c>
      <c r="G48" s="7"/>
      <c r="H48" s="7"/>
      <c r="I48" s="7"/>
    </row>
    <row r="49" spans="1:9" x14ac:dyDescent="0.25">
      <c r="A49" s="84" t="s">
        <v>175</v>
      </c>
      <c r="B49" s="91" t="s">
        <v>176</v>
      </c>
      <c r="C49" s="91" t="s">
        <v>176</v>
      </c>
      <c r="D49" s="91" t="s">
        <v>176</v>
      </c>
      <c r="E49" s="191" t="s">
        <v>177</v>
      </c>
      <c r="F49" s="86" t="s">
        <v>178</v>
      </c>
      <c r="G49" s="7"/>
      <c r="H49" s="7"/>
      <c r="I49" s="7"/>
    </row>
    <row r="50" spans="1:9" ht="17.25" thickBot="1" x14ac:dyDescent="0.3">
      <c r="A50" s="192" t="s">
        <v>179</v>
      </c>
      <c r="B50" s="193" t="s">
        <v>180</v>
      </c>
      <c r="C50" s="193" t="s">
        <v>181</v>
      </c>
      <c r="D50" s="194" t="s">
        <v>182</v>
      </c>
      <c r="E50" s="195" t="s">
        <v>183</v>
      </c>
      <c r="F50" s="196" t="s">
        <v>184</v>
      </c>
      <c r="G50" s="7"/>
      <c r="H50" s="7"/>
      <c r="I50" s="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77A3-6FE3-2D4C-BF2D-1543B6F0B722}">
  <sheetPr>
    <tabColor rgb="FF0A6640"/>
  </sheetPr>
  <dimension ref="A1:M63"/>
  <sheetViews>
    <sheetView showGridLines="0" topLeftCell="H1" workbookViewId="0"/>
  </sheetViews>
  <sheetFormatPr defaultColWidth="10.8515625" defaultRowHeight="16.5" x14ac:dyDescent="0.25"/>
  <cols>
    <col min="1" max="1" width="38.34765625" customWidth="1"/>
    <col min="2" max="13" width="18.37109375" customWidth="1"/>
  </cols>
  <sheetData>
    <row r="1" spans="1:13" ht="21" x14ac:dyDescent="0.3">
      <c r="A1" s="66" t="s">
        <v>185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153" t="s">
        <v>186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4" x14ac:dyDescent="0.25">
      <c r="A4" s="197" t="s">
        <v>118</v>
      </c>
      <c r="B4" s="198" t="s">
        <v>187</v>
      </c>
      <c r="C4" s="198" t="s">
        <v>188</v>
      </c>
      <c r="D4" s="198" t="s">
        <v>189</v>
      </c>
      <c r="E4" s="198" t="s">
        <v>190</v>
      </c>
      <c r="F4" s="198" t="s">
        <v>191</v>
      </c>
      <c r="G4" s="198" t="s">
        <v>192</v>
      </c>
      <c r="H4" s="198" t="s">
        <v>193</v>
      </c>
      <c r="I4" s="198" t="s">
        <v>194</v>
      </c>
      <c r="J4" s="198" t="s">
        <v>195</v>
      </c>
      <c r="K4" s="198" t="s">
        <v>196</v>
      </c>
      <c r="L4" s="198" t="s">
        <v>197</v>
      </c>
      <c r="M4" s="199" t="s">
        <v>198</v>
      </c>
    </row>
    <row r="5" spans="1:13" x14ac:dyDescent="0.25">
      <c r="A5" s="138">
        <v>0</v>
      </c>
      <c r="B5" s="200">
        <f>'Capital Allocation'!B10</f>
        <v>222.75</v>
      </c>
      <c r="C5" s="200">
        <f>'Capital Allocation'!B11</f>
        <v>24.75</v>
      </c>
      <c r="D5" s="201" t="s">
        <v>199</v>
      </c>
      <c r="E5" s="202">
        <v>0</v>
      </c>
      <c r="F5" s="202">
        <v>0</v>
      </c>
      <c r="G5" s="202">
        <v>0</v>
      </c>
      <c r="H5" s="200">
        <f>B5+C5</f>
        <v>247.5</v>
      </c>
      <c r="I5" s="139">
        <f>H5/(Assumptions!B6/Assumptions!B8*1000000)*1000000</f>
        <v>49500</v>
      </c>
      <c r="J5" s="202">
        <v>0</v>
      </c>
      <c r="K5" s="202">
        <v>0</v>
      </c>
      <c r="L5" s="200">
        <f>H5</f>
        <v>247.5</v>
      </c>
      <c r="M5" s="203">
        <f>L5/Assumptions!B6</f>
        <v>0.99</v>
      </c>
    </row>
    <row r="6" spans="1:13" x14ac:dyDescent="0.25">
      <c r="A6" s="141">
        <v>1</v>
      </c>
      <c r="B6" s="204">
        <f>B5*(1+Assumptions!$B$28)</f>
        <v>231.66</v>
      </c>
      <c r="C6" s="204">
        <f>C5*(1+D6)</f>
        <v>24.75</v>
      </c>
      <c r="D6" s="205">
        <f>IF(A6&lt;=5,0,Assumptions!$B$54)</f>
        <v>0</v>
      </c>
      <c r="E6" s="206">
        <f>C5*D6</f>
        <v>0</v>
      </c>
      <c r="F6" s="206">
        <f>F5+E6</f>
        <v>0</v>
      </c>
      <c r="G6" s="206">
        <f>-(B6+C6)*Assumptions!$B$21</f>
        <v>-3.2051249999999998</v>
      </c>
      <c r="H6" s="204">
        <f>B6+C6+G6</f>
        <v>253.20487499999996</v>
      </c>
      <c r="I6" s="142">
        <f>H6/(Assumptions!$B$6/Assumptions!$B$8*1000000)*1000000</f>
        <v>50640.974999999991</v>
      </c>
      <c r="J6" s="204">
        <f>Assumptions!$B$6*Assumptions!$B$13*A6</f>
        <v>5</v>
      </c>
      <c r="K6" s="206">
        <f>F6*Assumptions!$B$14</f>
        <v>0</v>
      </c>
      <c r="L6" s="204">
        <f>H6+J6+K6</f>
        <v>258.20487499999996</v>
      </c>
      <c r="M6" s="207">
        <f>L6/Assumptions!$B$6</f>
        <v>1.0328194999999998</v>
      </c>
    </row>
    <row r="7" spans="1:13" x14ac:dyDescent="0.25">
      <c r="A7" s="144">
        <v>2</v>
      </c>
      <c r="B7" s="208">
        <f>B6*(1+Assumptions!$B$28)</f>
        <v>240.9264</v>
      </c>
      <c r="C7" s="208">
        <f t="shared" ref="C7:C30" si="0">C6*(1+D7)</f>
        <v>24.75</v>
      </c>
      <c r="D7" s="209">
        <f>IF(A7&lt;=5,0,Assumptions!$B$54)</f>
        <v>0</v>
      </c>
      <c r="E7" s="210">
        <f t="shared" ref="E7:E30" si="1">C6*D7</f>
        <v>0</v>
      </c>
      <c r="F7" s="210">
        <f t="shared" ref="F7:F30" si="2">F6+E7</f>
        <v>0</v>
      </c>
      <c r="G7" s="210">
        <f>-(B7+C7)*Assumptions!$B$21</f>
        <v>-3.3209550000000001</v>
      </c>
      <c r="H7" s="208">
        <f t="shared" ref="H7:H30" si="3">B7+C7+G7</f>
        <v>262.35544499999997</v>
      </c>
      <c r="I7" s="145">
        <f>H7/(Assumptions!$B$6/Assumptions!$B$8*1000000)*1000000</f>
        <v>52471.088999999993</v>
      </c>
      <c r="J7" s="208">
        <f>Assumptions!$B$6*Assumptions!$B$13*A7</f>
        <v>10</v>
      </c>
      <c r="K7" s="210">
        <f>F7*Assumptions!$B$14</f>
        <v>0</v>
      </c>
      <c r="L7" s="208">
        <f t="shared" ref="L7:L30" si="4">H7+J7+K7</f>
        <v>272.35544499999997</v>
      </c>
      <c r="M7" s="211">
        <f>L7/Assumptions!$B$6</f>
        <v>1.0894217799999999</v>
      </c>
    </row>
    <row r="8" spans="1:13" x14ac:dyDescent="0.25">
      <c r="A8" s="141">
        <v>3</v>
      </c>
      <c r="B8" s="204">
        <f>B7*(1+Assumptions!$B$28)</f>
        <v>250.563456</v>
      </c>
      <c r="C8" s="204">
        <f t="shared" si="0"/>
        <v>24.75</v>
      </c>
      <c r="D8" s="205">
        <f>IF(A8&lt;=5,0,Assumptions!$B$54)</f>
        <v>0</v>
      </c>
      <c r="E8" s="206">
        <f t="shared" si="1"/>
        <v>0</v>
      </c>
      <c r="F8" s="206">
        <f t="shared" si="2"/>
        <v>0</v>
      </c>
      <c r="G8" s="206">
        <f>-(B8+C8)*Assumptions!$B$21</f>
        <v>-3.4414181999999998</v>
      </c>
      <c r="H8" s="204">
        <f t="shared" si="3"/>
        <v>271.87203779999999</v>
      </c>
      <c r="I8" s="142">
        <f>H8/(Assumptions!$B$6/Assumptions!$B$8*1000000)*1000000</f>
        <v>54374.40756</v>
      </c>
      <c r="J8" s="204">
        <f>Assumptions!$B$6*Assumptions!$B$13*A8</f>
        <v>15</v>
      </c>
      <c r="K8" s="206">
        <f>F8*Assumptions!$B$14</f>
        <v>0</v>
      </c>
      <c r="L8" s="204">
        <f t="shared" si="4"/>
        <v>286.87203779999999</v>
      </c>
      <c r="M8" s="207">
        <f>L8/Assumptions!$B$6</f>
        <v>1.1474881511999999</v>
      </c>
    </row>
    <row r="9" spans="1:13" x14ac:dyDescent="0.25">
      <c r="A9" s="144">
        <v>4</v>
      </c>
      <c r="B9" s="208">
        <f>B8*(1+Assumptions!$B$28)</f>
        <v>260.58599423999999</v>
      </c>
      <c r="C9" s="208">
        <f t="shared" si="0"/>
        <v>24.75</v>
      </c>
      <c r="D9" s="209">
        <f>IF(A9&lt;=5,0,Assumptions!$B$54)</f>
        <v>0</v>
      </c>
      <c r="E9" s="210">
        <f t="shared" si="1"/>
        <v>0</v>
      </c>
      <c r="F9" s="210">
        <f t="shared" si="2"/>
        <v>0</v>
      </c>
      <c r="G9" s="210">
        <f>-(B9+C9)*Assumptions!$B$21</f>
        <v>-3.5666999280000002</v>
      </c>
      <c r="H9" s="208">
        <f t="shared" si="3"/>
        <v>281.769294312</v>
      </c>
      <c r="I9" s="145">
        <f>H9/(Assumptions!$B$6/Assumptions!$B$8*1000000)*1000000</f>
        <v>56353.858862399997</v>
      </c>
      <c r="J9" s="208">
        <f>Assumptions!$B$6*Assumptions!$B$13*A9</f>
        <v>20</v>
      </c>
      <c r="K9" s="210">
        <f>F9*Assumptions!$B$14</f>
        <v>0</v>
      </c>
      <c r="L9" s="208">
        <f t="shared" si="4"/>
        <v>301.769294312</v>
      </c>
      <c r="M9" s="211">
        <f>L9/Assumptions!$B$6</f>
        <v>1.207077177248</v>
      </c>
    </row>
    <row r="10" spans="1:13" x14ac:dyDescent="0.25">
      <c r="A10" s="141">
        <v>5</v>
      </c>
      <c r="B10" s="204">
        <f>B9*(1+Assumptions!$B$28)</f>
        <v>271.0094340096</v>
      </c>
      <c r="C10" s="204">
        <f t="shared" si="0"/>
        <v>24.75</v>
      </c>
      <c r="D10" s="205">
        <f>IF(A10&lt;=5,0,Assumptions!$B$54)</f>
        <v>0</v>
      </c>
      <c r="E10" s="206">
        <f t="shared" si="1"/>
        <v>0</v>
      </c>
      <c r="F10" s="206">
        <f t="shared" si="2"/>
        <v>0</v>
      </c>
      <c r="G10" s="206">
        <f>-(B10+C10)*Assumptions!$B$21</f>
        <v>-3.69699292512</v>
      </c>
      <c r="H10" s="204">
        <f t="shared" si="3"/>
        <v>292.06244108447999</v>
      </c>
      <c r="I10" s="142">
        <f>H10/(Assumptions!$B$6/Assumptions!$B$8*1000000)*1000000</f>
        <v>58412.488216896003</v>
      </c>
      <c r="J10" s="204">
        <f>Assumptions!$B$6*Assumptions!$B$13*A10</f>
        <v>25</v>
      </c>
      <c r="K10" s="206">
        <f>F10*Assumptions!$B$14</f>
        <v>0</v>
      </c>
      <c r="L10" s="204">
        <f t="shared" si="4"/>
        <v>317.06244108447999</v>
      </c>
      <c r="M10" s="207">
        <f>L10/Assumptions!$B$6</f>
        <v>1.26824976433792</v>
      </c>
    </row>
    <row r="11" spans="1:13" x14ac:dyDescent="0.25">
      <c r="A11" s="144">
        <v>6</v>
      </c>
      <c r="B11" s="208">
        <f>B10*(1+Assumptions!$B$28)</f>
        <v>281.84981136998402</v>
      </c>
      <c r="C11" s="208">
        <f t="shared" si="0"/>
        <v>27.472500000000004</v>
      </c>
      <c r="D11" s="209">
        <f>IF(A11&lt;=5,0,Assumptions!$B$54)</f>
        <v>0.11</v>
      </c>
      <c r="E11" s="210">
        <f t="shared" si="1"/>
        <v>2.7225000000000001</v>
      </c>
      <c r="F11" s="210">
        <f t="shared" si="2"/>
        <v>2.7225000000000001</v>
      </c>
      <c r="G11" s="210">
        <f>-(B11+C11)*Assumptions!$B$21</f>
        <v>-3.8665288921248009</v>
      </c>
      <c r="H11" s="208">
        <f t="shared" si="3"/>
        <v>305.45578247785926</v>
      </c>
      <c r="I11" s="145">
        <f>H11/(Assumptions!$B$6/Assumptions!$B$8*1000000)*1000000</f>
        <v>61091.156495571857</v>
      </c>
      <c r="J11" s="208">
        <f>Assumptions!$B$6*Assumptions!$B$13*A11</f>
        <v>30</v>
      </c>
      <c r="K11" s="210">
        <f>F11*Assumptions!$B$14</f>
        <v>0.27225000000000005</v>
      </c>
      <c r="L11" s="208">
        <f t="shared" si="4"/>
        <v>335.72803247785924</v>
      </c>
      <c r="M11" s="211">
        <f>L11/Assumptions!$B$6</f>
        <v>1.342912129911437</v>
      </c>
    </row>
    <row r="12" spans="1:13" x14ac:dyDescent="0.25">
      <c r="A12" s="141">
        <v>7</v>
      </c>
      <c r="B12" s="204">
        <f>B11*(1+Assumptions!$B$28)</f>
        <v>293.12380382478341</v>
      </c>
      <c r="C12" s="204">
        <f t="shared" si="0"/>
        <v>30.494475000000008</v>
      </c>
      <c r="D12" s="205">
        <f>IF(A12&lt;=5,0,Assumptions!$B$54)</f>
        <v>0.11</v>
      </c>
      <c r="E12" s="206">
        <f t="shared" si="1"/>
        <v>3.0219750000000003</v>
      </c>
      <c r="F12" s="206">
        <f t="shared" si="2"/>
        <v>5.7444750000000004</v>
      </c>
      <c r="G12" s="206">
        <f>-(B12+C12)*Assumptions!$B$21</f>
        <v>-4.0452284853097931</v>
      </c>
      <c r="H12" s="204">
        <f t="shared" si="3"/>
        <v>319.57305033947364</v>
      </c>
      <c r="I12" s="142">
        <f>H12/(Assumptions!$B$6/Assumptions!$B$8*1000000)*1000000</f>
        <v>63914.610067894726</v>
      </c>
      <c r="J12" s="204">
        <f>Assumptions!$B$6*Assumptions!$B$13*A12</f>
        <v>35</v>
      </c>
      <c r="K12" s="206">
        <f>F12*Assumptions!$B$14</f>
        <v>0.57444750000000011</v>
      </c>
      <c r="L12" s="204">
        <f t="shared" si="4"/>
        <v>355.14749783947366</v>
      </c>
      <c r="M12" s="207">
        <f>L12/Assumptions!$B$6</f>
        <v>1.4205899913578945</v>
      </c>
    </row>
    <row r="13" spans="1:13" x14ac:dyDescent="0.25">
      <c r="A13" s="144">
        <v>8</v>
      </c>
      <c r="B13" s="208">
        <f>B12*(1+Assumptions!$B$28)</f>
        <v>304.84875597777477</v>
      </c>
      <c r="C13" s="208">
        <f t="shared" si="0"/>
        <v>33.848867250000012</v>
      </c>
      <c r="D13" s="209">
        <f>IF(A13&lt;=5,0,Assumptions!$B$54)</f>
        <v>0.11</v>
      </c>
      <c r="E13" s="210">
        <f t="shared" si="1"/>
        <v>3.354392250000001</v>
      </c>
      <c r="F13" s="210">
        <f t="shared" si="2"/>
        <v>9.0988672500000014</v>
      </c>
      <c r="G13" s="210">
        <f>-(B13+C13)*Assumptions!$B$21</f>
        <v>-4.2337202903471853</v>
      </c>
      <c r="H13" s="208">
        <f t="shared" si="3"/>
        <v>334.46390293742758</v>
      </c>
      <c r="I13" s="145">
        <f>H13/(Assumptions!$B$6/Assumptions!$B$8*1000000)*1000000</f>
        <v>66892.780587485511</v>
      </c>
      <c r="J13" s="208">
        <f>Assumptions!$B$6*Assumptions!$B$13*A13</f>
        <v>40</v>
      </c>
      <c r="K13" s="210">
        <f>F13*Assumptions!$B$14</f>
        <v>0.90988672500000023</v>
      </c>
      <c r="L13" s="208">
        <f t="shared" si="4"/>
        <v>375.37378966242755</v>
      </c>
      <c r="M13" s="211">
        <f>L13/Assumptions!$B$6</f>
        <v>1.5014951586497103</v>
      </c>
    </row>
    <row r="14" spans="1:13" x14ac:dyDescent="0.25">
      <c r="A14" s="141">
        <v>9</v>
      </c>
      <c r="B14" s="204">
        <f>B13*(1+Assumptions!$B$28)</f>
        <v>317.04270621688579</v>
      </c>
      <c r="C14" s="204">
        <f t="shared" si="0"/>
        <v>37.572242647500019</v>
      </c>
      <c r="D14" s="205">
        <f>IF(A14&lt;=5,0,Assumptions!$B$54)</f>
        <v>0.11</v>
      </c>
      <c r="E14" s="206">
        <f t="shared" si="1"/>
        <v>3.7233753975000012</v>
      </c>
      <c r="F14" s="206">
        <f t="shared" si="2"/>
        <v>12.822242647500003</v>
      </c>
      <c r="G14" s="206">
        <f>-(B14+C14)*Assumptions!$B$21</f>
        <v>-4.4326868608048233</v>
      </c>
      <c r="H14" s="204">
        <f t="shared" si="3"/>
        <v>350.182262003581</v>
      </c>
      <c r="I14" s="142">
        <f>H14/(Assumptions!$B$6/Assumptions!$B$8*1000000)*1000000</f>
        <v>70036.452400716196</v>
      </c>
      <c r="J14" s="204">
        <f>Assumptions!$B$6*Assumptions!$B$13*A14</f>
        <v>45</v>
      </c>
      <c r="K14" s="206">
        <f>F14*Assumptions!$B$14</f>
        <v>1.2822242647500004</v>
      </c>
      <c r="L14" s="204">
        <f t="shared" si="4"/>
        <v>396.46448626833103</v>
      </c>
      <c r="M14" s="207">
        <f>L14/Assumptions!$B$6</f>
        <v>1.5858579450733241</v>
      </c>
    </row>
    <row r="15" spans="1:13" x14ac:dyDescent="0.25">
      <c r="A15" s="144">
        <v>10</v>
      </c>
      <c r="B15" s="208">
        <f>B14*(1+Assumptions!$B$28)</f>
        <v>329.72441446556121</v>
      </c>
      <c r="C15" s="208">
        <f t="shared" si="0"/>
        <v>41.705189338725027</v>
      </c>
      <c r="D15" s="209">
        <f>IF(A15&lt;=5,0,Assumptions!$B$54)</f>
        <v>0.11</v>
      </c>
      <c r="E15" s="210">
        <f t="shared" si="1"/>
        <v>4.1329466912250021</v>
      </c>
      <c r="F15" s="210">
        <f t="shared" si="2"/>
        <v>16.955189338725006</v>
      </c>
      <c r="G15" s="210">
        <f>-(B15+C15)*Assumptions!$B$21</f>
        <v>-4.6428700475535782</v>
      </c>
      <c r="H15" s="208">
        <f t="shared" si="3"/>
        <v>366.78673375673264</v>
      </c>
      <c r="I15" s="145">
        <f>H15/(Assumptions!$B$6/Assumptions!$B$8*1000000)*1000000</f>
        <v>73357.346751346529</v>
      </c>
      <c r="J15" s="208">
        <f>Assumptions!$B$6*Assumptions!$B$13*A15</f>
        <v>50</v>
      </c>
      <c r="K15" s="210">
        <f>F15*Assumptions!$B$14</f>
        <v>1.6955189338725007</v>
      </c>
      <c r="L15" s="208">
        <f t="shared" si="4"/>
        <v>418.48225269060515</v>
      </c>
      <c r="M15" s="211">
        <f>L15/Assumptions!$B$6</f>
        <v>1.6739290107624205</v>
      </c>
    </row>
    <row r="16" spans="1:13" x14ac:dyDescent="0.25">
      <c r="A16" s="141">
        <v>11</v>
      </c>
      <c r="B16" s="204">
        <f>B15*(1+Assumptions!$B$28)</f>
        <v>342.9133910441837</v>
      </c>
      <c r="C16" s="204">
        <f t="shared" si="0"/>
        <v>46.292760165984788</v>
      </c>
      <c r="D16" s="205">
        <f>IF(A16&lt;=5,0,Assumptions!$B$54)</f>
        <v>0.11</v>
      </c>
      <c r="E16" s="206">
        <f t="shared" si="1"/>
        <v>4.5875708272597526</v>
      </c>
      <c r="F16" s="206">
        <f t="shared" si="2"/>
        <v>21.54276016598476</v>
      </c>
      <c r="G16" s="206">
        <f>-(B16+C16)*Assumptions!$B$21</f>
        <v>-4.8650768901271064</v>
      </c>
      <c r="H16" s="204">
        <f t="shared" si="3"/>
        <v>384.3410743200414</v>
      </c>
      <c r="I16" s="142">
        <f>H16/(Assumptions!$B$6/Assumptions!$B$8*1000000)*1000000</f>
        <v>76868.214864008289</v>
      </c>
      <c r="J16" s="204">
        <f>Assumptions!$B$6*Assumptions!$B$13*A16</f>
        <v>55</v>
      </c>
      <c r="K16" s="206">
        <f>F16*Assumptions!$B$14</f>
        <v>2.1542760165984762</v>
      </c>
      <c r="L16" s="204">
        <f t="shared" si="4"/>
        <v>441.49535033663989</v>
      </c>
      <c r="M16" s="207">
        <f>L16/Assumptions!$B$6</f>
        <v>1.7659814013465596</v>
      </c>
    </row>
    <row r="17" spans="1:13" x14ac:dyDescent="0.25">
      <c r="A17" s="144">
        <v>12</v>
      </c>
      <c r="B17" s="208">
        <f>B16*(1+Assumptions!$B$28)</f>
        <v>356.62992668595103</v>
      </c>
      <c r="C17" s="208">
        <f t="shared" si="0"/>
        <v>51.384963784243119</v>
      </c>
      <c r="D17" s="209">
        <f>IF(A17&lt;=5,0,Assumptions!$B$54)</f>
        <v>0.11</v>
      </c>
      <c r="E17" s="210">
        <f t="shared" si="1"/>
        <v>5.0922036182583268</v>
      </c>
      <c r="F17" s="210">
        <f t="shared" si="2"/>
        <v>26.634963784243087</v>
      </c>
      <c r="G17" s="210">
        <f>-(B17+C17)*Assumptions!$B$21</f>
        <v>-5.100186130877427</v>
      </c>
      <c r="H17" s="208">
        <f t="shared" si="3"/>
        <v>402.9147043393167</v>
      </c>
      <c r="I17" s="145">
        <f>H17/(Assumptions!$B$6/Assumptions!$B$8*1000000)*1000000</f>
        <v>80582.940867863348</v>
      </c>
      <c r="J17" s="208">
        <f>Assumptions!$B$6*Assumptions!$B$13*A17</f>
        <v>60</v>
      </c>
      <c r="K17" s="210">
        <f>F17*Assumptions!$B$14</f>
        <v>2.6634963784243091</v>
      </c>
      <c r="L17" s="208">
        <f t="shared" si="4"/>
        <v>465.57820071774103</v>
      </c>
      <c r="M17" s="211">
        <f>L17/Assumptions!$B$6</f>
        <v>1.8623128028709641</v>
      </c>
    </row>
    <row r="18" spans="1:13" x14ac:dyDescent="0.25">
      <c r="A18" s="141">
        <v>13</v>
      </c>
      <c r="B18" s="204">
        <f>B17*(1+Assumptions!$B$28)</f>
        <v>370.8951237533891</v>
      </c>
      <c r="C18" s="204">
        <f t="shared" si="0"/>
        <v>57.037309800509867</v>
      </c>
      <c r="D18" s="205">
        <f>IF(A18&lt;=5,0,Assumptions!$B$54)</f>
        <v>0.11</v>
      </c>
      <c r="E18" s="206">
        <f t="shared" si="1"/>
        <v>5.6523460162667432</v>
      </c>
      <c r="F18" s="206">
        <f t="shared" si="2"/>
        <v>32.287309800509831</v>
      </c>
      <c r="G18" s="206">
        <f>-(B18+C18)*Assumptions!$B$21</f>
        <v>-5.3491554194237381</v>
      </c>
      <c r="H18" s="204">
        <f t="shared" si="3"/>
        <v>422.58327813447522</v>
      </c>
      <c r="I18" s="142">
        <f>H18/(Assumptions!$B$6/Assumptions!$B$8*1000000)*1000000</f>
        <v>84516.655626895052</v>
      </c>
      <c r="J18" s="204">
        <f>Assumptions!$B$6*Assumptions!$B$13*A18</f>
        <v>65</v>
      </c>
      <c r="K18" s="206">
        <f>F18*Assumptions!$B$14</f>
        <v>3.2287309800509831</v>
      </c>
      <c r="L18" s="204">
        <f t="shared" si="4"/>
        <v>490.81200911452618</v>
      </c>
      <c r="M18" s="207">
        <f>L18/Assumptions!$B$6</f>
        <v>1.9632480364581046</v>
      </c>
    </row>
    <row r="19" spans="1:13" x14ac:dyDescent="0.25">
      <c r="A19" s="144">
        <v>14</v>
      </c>
      <c r="B19" s="208">
        <f>B18*(1+Assumptions!$B$28)</f>
        <v>385.73092870352468</v>
      </c>
      <c r="C19" s="208">
        <f t="shared" si="0"/>
        <v>63.311413878565958</v>
      </c>
      <c r="D19" s="209">
        <f>IF(A19&lt;=5,0,Assumptions!$B$54)</f>
        <v>0.11</v>
      </c>
      <c r="E19" s="210">
        <f t="shared" si="1"/>
        <v>6.2741040780560855</v>
      </c>
      <c r="F19" s="210">
        <f t="shared" si="2"/>
        <v>38.561413878565915</v>
      </c>
      <c r="G19" s="210">
        <f>-(B19+C19)*Assumptions!$B$21</f>
        <v>-5.6130292822761341</v>
      </c>
      <c r="H19" s="208">
        <f t="shared" si="3"/>
        <v>443.42931329981451</v>
      </c>
      <c r="I19" s="145">
        <f>H19/(Assumptions!$B$6/Assumptions!$B$8*1000000)*1000000</f>
        <v>88685.862659962906</v>
      </c>
      <c r="J19" s="208">
        <f>Assumptions!$B$6*Assumptions!$B$13*A19</f>
        <v>70</v>
      </c>
      <c r="K19" s="210">
        <f>F19*Assumptions!$B$14</f>
        <v>3.8561413878565918</v>
      </c>
      <c r="L19" s="208">
        <f t="shared" si="4"/>
        <v>517.28545468767118</v>
      </c>
      <c r="M19" s="211">
        <f>L19/Assumptions!$B$6</f>
        <v>2.0691418187506847</v>
      </c>
    </row>
    <row r="20" spans="1:13" x14ac:dyDescent="0.25">
      <c r="A20" s="141">
        <v>15</v>
      </c>
      <c r="B20" s="204">
        <f>B19*(1+Assumptions!$B$28)</f>
        <v>401.16016585166568</v>
      </c>
      <c r="C20" s="204">
        <f t="shared" si="0"/>
        <v>70.27566940520822</v>
      </c>
      <c r="D20" s="205">
        <f>IF(A20&lt;=5,0,Assumptions!$B$54)</f>
        <v>0.11</v>
      </c>
      <c r="E20" s="206">
        <f t="shared" si="1"/>
        <v>6.9642555266422557</v>
      </c>
      <c r="F20" s="206">
        <f t="shared" si="2"/>
        <v>45.52566940520817</v>
      </c>
      <c r="G20" s="206">
        <f>-(B20+C20)*Assumptions!$B$21</f>
        <v>-5.8929479407109246</v>
      </c>
      <c r="H20" s="204">
        <f t="shared" si="3"/>
        <v>465.54288731616299</v>
      </c>
      <c r="I20" s="142">
        <f>H20/(Assumptions!$B$6/Assumptions!$B$8*1000000)*1000000</f>
        <v>93108.577463232607</v>
      </c>
      <c r="J20" s="204">
        <f>Assumptions!$B$6*Assumptions!$B$13*A20</f>
        <v>75</v>
      </c>
      <c r="K20" s="206">
        <f>F20*Assumptions!$B$14</f>
        <v>4.5525669405208173</v>
      </c>
      <c r="L20" s="204">
        <f t="shared" si="4"/>
        <v>545.09545425668375</v>
      </c>
      <c r="M20" s="207">
        <f>L20/Assumptions!$B$6</f>
        <v>2.1803818170267348</v>
      </c>
    </row>
    <row r="21" spans="1:13" x14ac:dyDescent="0.25">
      <c r="A21" s="144">
        <v>16</v>
      </c>
      <c r="B21" s="208">
        <f>B20*(1+Assumptions!$B$28)</f>
        <v>417.20657248573229</v>
      </c>
      <c r="C21" s="208">
        <f t="shared" si="0"/>
        <v>78.005993039781131</v>
      </c>
      <c r="D21" s="209">
        <f>IF(A21&lt;=5,0,Assumptions!$B$54)</f>
        <v>0.11</v>
      </c>
      <c r="E21" s="210">
        <f t="shared" si="1"/>
        <v>7.7303236345729038</v>
      </c>
      <c r="F21" s="210">
        <f t="shared" si="2"/>
        <v>53.255993039781075</v>
      </c>
      <c r="G21" s="210">
        <f>-(B21+C21)*Assumptions!$B$21</f>
        <v>-6.1901570690689178</v>
      </c>
      <c r="H21" s="208">
        <f t="shared" si="3"/>
        <v>489.02240845644451</v>
      </c>
      <c r="I21" s="145">
        <f>H21/(Assumptions!$B$6/Assumptions!$B$8*1000000)*1000000</f>
        <v>97804.481691288893</v>
      </c>
      <c r="J21" s="208">
        <f>Assumptions!$B$6*Assumptions!$B$13*A21</f>
        <v>80</v>
      </c>
      <c r="K21" s="210">
        <f>F21*Assumptions!$B$14</f>
        <v>5.325599303978108</v>
      </c>
      <c r="L21" s="208">
        <f t="shared" si="4"/>
        <v>574.34800776042266</v>
      </c>
      <c r="M21" s="211">
        <f>L21/Assumptions!$B$6</f>
        <v>2.2973920310416904</v>
      </c>
    </row>
    <row r="22" spans="1:13" x14ac:dyDescent="0.25">
      <c r="A22" s="141">
        <v>17</v>
      </c>
      <c r="B22" s="204">
        <f>B21*(1+Assumptions!$B$28)</f>
        <v>433.89483538516163</v>
      </c>
      <c r="C22" s="204">
        <f t="shared" si="0"/>
        <v>86.586652274157061</v>
      </c>
      <c r="D22" s="205">
        <f>IF(A22&lt;=5,0,Assumptions!$B$54)</f>
        <v>0.11</v>
      </c>
      <c r="E22" s="206">
        <f t="shared" si="1"/>
        <v>8.5806592343759238</v>
      </c>
      <c r="F22" s="206">
        <f t="shared" si="2"/>
        <v>61.836652274156997</v>
      </c>
      <c r="G22" s="206">
        <f>-(B22+C22)*Assumptions!$B$21</f>
        <v>-6.5060185957414838</v>
      </c>
      <c r="H22" s="204">
        <f t="shared" si="3"/>
        <v>513.97546906357718</v>
      </c>
      <c r="I22" s="142">
        <f>H22/(Assumptions!$B$6/Assumptions!$B$8*1000000)*1000000</f>
        <v>102795.09381271544</v>
      </c>
      <c r="J22" s="204">
        <f>Assumptions!$B$6*Assumptions!$B$13*A22</f>
        <v>85</v>
      </c>
      <c r="K22" s="206">
        <f>F22*Assumptions!$B$14</f>
        <v>6.1836652274157</v>
      </c>
      <c r="L22" s="204">
        <f t="shared" si="4"/>
        <v>605.15913429099282</v>
      </c>
      <c r="M22" s="207">
        <f>L22/Assumptions!$B$6</f>
        <v>2.4206365371639711</v>
      </c>
    </row>
    <row r="23" spans="1:13" x14ac:dyDescent="0.25">
      <c r="A23" s="144">
        <v>18</v>
      </c>
      <c r="B23" s="208">
        <f>B22*(1+Assumptions!$B$28)</f>
        <v>451.25062880056811</v>
      </c>
      <c r="C23" s="208">
        <f t="shared" si="0"/>
        <v>96.11118402431434</v>
      </c>
      <c r="D23" s="209">
        <f>IF(A23&lt;=5,0,Assumptions!$B$54)</f>
        <v>0.11</v>
      </c>
      <c r="E23" s="210">
        <f t="shared" si="1"/>
        <v>9.5245317501572764</v>
      </c>
      <c r="F23" s="210">
        <f t="shared" si="2"/>
        <v>71.361184024314269</v>
      </c>
      <c r="G23" s="210">
        <f>-(B23+C23)*Assumptions!$B$21</f>
        <v>-6.8420226603110308</v>
      </c>
      <c r="H23" s="208">
        <f t="shared" si="3"/>
        <v>540.51979016457142</v>
      </c>
      <c r="I23" s="145">
        <f>H23/(Assumptions!$B$6/Assumptions!$B$8*1000000)*1000000</f>
        <v>108103.95803291428</v>
      </c>
      <c r="J23" s="208">
        <f>Assumptions!$B$6*Assumptions!$B$13*A23</f>
        <v>90</v>
      </c>
      <c r="K23" s="210">
        <f>F23*Assumptions!$B$14</f>
        <v>7.1361184024314275</v>
      </c>
      <c r="L23" s="208">
        <f t="shared" si="4"/>
        <v>637.65590856700283</v>
      </c>
      <c r="M23" s="211">
        <f>L23/Assumptions!$B$6</f>
        <v>2.5506236342680113</v>
      </c>
    </row>
    <row r="24" spans="1:13" x14ac:dyDescent="0.25">
      <c r="A24" s="141">
        <v>19</v>
      </c>
      <c r="B24" s="204">
        <f>B23*(1+Assumptions!$B$28)</f>
        <v>469.30065395259084</v>
      </c>
      <c r="C24" s="204">
        <f t="shared" si="0"/>
        <v>106.68341426698893</v>
      </c>
      <c r="D24" s="205">
        <f>IF(A24&lt;=5,0,Assumptions!$B$54)</f>
        <v>0.11</v>
      </c>
      <c r="E24" s="206">
        <f t="shared" si="1"/>
        <v>10.572230242674577</v>
      </c>
      <c r="F24" s="206">
        <f t="shared" si="2"/>
        <v>81.933414266988848</v>
      </c>
      <c r="G24" s="206">
        <f>-(B24+C24)*Assumptions!$B$21</f>
        <v>-7.1998008527447475</v>
      </c>
      <c r="H24" s="204">
        <f t="shared" si="3"/>
        <v>568.78426736683502</v>
      </c>
      <c r="I24" s="142">
        <f>H24/(Assumptions!$B$6/Assumptions!$B$8*1000000)*1000000</f>
        <v>113756.85347336701</v>
      </c>
      <c r="J24" s="204">
        <f>Assumptions!$B$6*Assumptions!$B$13*A24</f>
        <v>95</v>
      </c>
      <c r="K24" s="206">
        <f>F24*Assumptions!$B$14</f>
        <v>8.1933414266988844</v>
      </c>
      <c r="L24" s="204">
        <f t="shared" si="4"/>
        <v>671.97760879353393</v>
      </c>
      <c r="M24" s="207">
        <f>L24/Assumptions!$B$6</f>
        <v>2.6879104351741359</v>
      </c>
    </row>
    <row r="25" spans="1:13" x14ac:dyDescent="0.25">
      <c r="A25" s="144">
        <v>20</v>
      </c>
      <c r="B25" s="208">
        <f>B24*(1+Assumptions!$B$28)</f>
        <v>488.07268011069448</v>
      </c>
      <c r="C25" s="208">
        <f t="shared" si="0"/>
        <v>118.41858983635773</v>
      </c>
      <c r="D25" s="209">
        <f>IF(A25&lt;=5,0,Assumptions!$B$54)</f>
        <v>0.11</v>
      </c>
      <c r="E25" s="210">
        <f t="shared" si="1"/>
        <v>11.735175569368783</v>
      </c>
      <c r="F25" s="210">
        <f t="shared" si="2"/>
        <v>93.668589836357626</v>
      </c>
      <c r="G25" s="210">
        <f>-(B25+C25)*Assumptions!$B$21</f>
        <v>-7.5811408743381525</v>
      </c>
      <c r="H25" s="208">
        <f t="shared" si="3"/>
        <v>598.91012907271397</v>
      </c>
      <c r="I25" s="145">
        <f>H25/(Assumptions!$B$6/Assumptions!$B$8*1000000)*1000000</f>
        <v>119782.02581454279</v>
      </c>
      <c r="J25" s="208">
        <f>Assumptions!$B$6*Assumptions!$B$13*A25</f>
        <v>100</v>
      </c>
      <c r="K25" s="210">
        <f>F25*Assumptions!$B$14</f>
        <v>9.3668589836357636</v>
      </c>
      <c r="L25" s="208">
        <f t="shared" si="4"/>
        <v>708.27698805634975</v>
      </c>
      <c r="M25" s="211">
        <f>L25/Assumptions!$B$6</f>
        <v>2.833107952225399</v>
      </c>
    </row>
    <row r="26" spans="1:13" x14ac:dyDescent="0.25">
      <c r="A26" s="141">
        <v>21</v>
      </c>
      <c r="B26" s="204">
        <f>B25*(1+Assumptions!$B$28)</f>
        <v>507.59558731512226</v>
      </c>
      <c r="C26" s="204">
        <f t="shared" si="0"/>
        <v>131.44463471835709</v>
      </c>
      <c r="D26" s="205">
        <f>IF(A26&lt;=5,0,Assumptions!$B$54)</f>
        <v>0.11</v>
      </c>
      <c r="E26" s="206">
        <f t="shared" si="1"/>
        <v>13.026044881999351</v>
      </c>
      <c r="F26" s="206">
        <f t="shared" si="2"/>
        <v>106.69463471835698</v>
      </c>
      <c r="G26" s="206">
        <f>-(B26+C26)*Assumptions!$B$21</f>
        <v>-7.9880027754184928</v>
      </c>
      <c r="H26" s="204">
        <f t="shared" si="3"/>
        <v>631.05221925806086</v>
      </c>
      <c r="I26" s="142">
        <f>H26/(Assumptions!$B$6/Assumptions!$B$8*1000000)*1000000</f>
        <v>126210.44385161217</v>
      </c>
      <c r="J26" s="204">
        <f>Assumptions!$B$6*Assumptions!$B$13*A26</f>
        <v>105</v>
      </c>
      <c r="K26" s="206">
        <f>F26*Assumptions!$B$14</f>
        <v>10.669463471835698</v>
      </c>
      <c r="L26" s="204">
        <f t="shared" si="4"/>
        <v>746.72168272989654</v>
      </c>
      <c r="M26" s="207">
        <f>L26/Assumptions!$B$6</f>
        <v>2.9868867309195863</v>
      </c>
    </row>
    <row r="27" spans="1:13" x14ac:dyDescent="0.25">
      <c r="A27" s="144">
        <v>22</v>
      </c>
      <c r="B27" s="208">
        <f>B26*(1+Assumptions!$B$28)</f>
        <v>527.89941080772712</v>
      </c>
      <c r="C27" s="208">
        <f t="shared" si="0"/>
        <v>145.90354453737638</v>
      </c>
      <c r="D27" s="209">
        <f>IF(A27&lt;=5,0,Assumptions!$B$54)</f>
        <v>0.11</v>
      </c>
      <c r="E27" s="210">
        <f t="shared" si="1"/>
        <v>14.458909819019281</v>
      </c>
      <c r="F27" s="210">
        <f t="shared" si="2"/>
        <v>121.15354453737626</v>
      </c>
      <c r="G27" s="210">
        <f>-(B27+C27)*Assumptions!$B$21</f>
        <v>-8.4225369418137941</v>
      </c>
      <c r="H27" s="208">
        <f t="shared" si="3"/>
        <v>665.38041840328981</v>
      </c>
      <c r="I27" s="145">
        <f>H27/(Assumptions!$B$6/Assumptions!$B$8*1000000)*1000000</f>
        <v>133076.08368065796</v>
      </c>
      <c r="J27" s="208">
        <f>Assumptions!$B$6*Assumptions!$B$13*A27</f>
        <v>110</v>
      </c>
      <c r="K27" s="210">
        <f>F27*Assumptions!$B$14</f>
        <v>12.115354453737627</v>
      </c>
      <c r="L27" s="208">
        <f t="shared" si="4"/>
        <v>787.49577285702742</v>
      </c>
      <c r="M27" s="211">
        <f>L27/Assumptions!$B$6</f>
        <v>3.1499830914281097</v>
      </c>
    </row>
    <row r="28" spans="1:13" x14ac:dyDescent="0.25">
      <c r="A28" s="141">
        <v>23</v>
      </c>
      <c r="B28" s="204">
        <f>B27*(1+Assumptions!$B$28)</f>
        <v>549.01538724003626</v>
      </c>
      <c r="C28" s="204">
        <f t="shared" si="0"/>
        <v>161.95293443648779</v>
      </c>
      <c r="D28" s="205">
        <f>IF(A28&lt;=5,0,Assumptions!$B$54)</f>
        <v>0.11</v>
      </c>
      <c r="E28" s="206">
        <f t="shared" si="1"/>
        <v>16.0493898991114</v>
      </c>
      <c r="F28" s="206">
        <f t="shared" si="2"/>
        <v>137.20293443648765</v>
      </c>
      <c r="G28" s="206">
        <f>-(B28+C28)*Assumptions!$B$21</f>
        <v>-8.8871040209565511</v>
      </c>
      <c r="H28" s="204">
        <f t="shared" si="3"/>
        <v>702.08121765556746</v>
      </c>
      <c r="I28" s="142">
        <f>H28/(Assumptions!$B$6/Assumptions!$B$8*1000000)*1000000</f>
        <v>140416.24353111349</v>
      </c>
      <c r="J28" s="204">
        <f>Assumptions!$B$6*Assumptions!$B$13*A28</f>
        <v>115</v>
      </c>
      <c r="K28" s="206">
        <f>F28*Assumptions!$B$14</f>
        <v>13.720293443648766</v>
      </c>
      <c r="L28" s="204">
        <f t="shared" si="4"/>
        <v>830.80151109921621</v>
      </c>
      <c r="M28" s="207">
        <f>L28/Assumptions!$B$6</f>
        <v>3.3232060443968647</v>
      </c>
    </row>
    <row r="29" spans="1:13" x14ac:dyDescent="0.25">
      <c r="A29" s="144">
        <v>24</v>
      </c>
      <c r="B29" s="208">
        <f>B28*(1+Assumptions!$B$28)</f>
        <v>570.97600272963768</v>
      </c>
      <c r="C29" s="208">
        <f t="shared" si="0"/>
        <v>179.76775722450148</v>
      </c>
      <c r="D29" s="209">
        <f>IF(A29&lt;=5,0,Assumptions!$B$54)</f>
        <v>0.11</v>
      </c>
      <c r="E29" s="210">
        <f t="shared" si="1"/>
        <v>17.814822788013657</v>
      </c>
      <c r="F29" s="210">
        <f t="shared" si="2"/>
        <v>155.01775722450131</v>
      </c>
      <c r="G29" s="210">
        <f>-(B29+C29)*Assumptions!$B$21</f>
        <v>-9.3842969994267396</v>
      </c>
      <c r="H29" s="208">
        <f t="shared" si="3"/>
        <v>741.3594629547124</v>
      </c>
      <c r="I29" s="145">
        <f>H29/(Assumptions!$B$6/Assumptions!$B$8*1000000)*1000000</f>
        <v>148271.89259094247</v>
      </c>
      <c r="J29" s="208">
        <f>Assumptions!$B$6*Assumptions!$B$13*A29</f>
        <v>120</v>
      </c>
      <c r="K29" s="210">
        <f>F29*Assumptions!$B$14</f>
        <v>15.501775722450132</v>
      </c>
      <c r="L29" s="208">
        <f t="shared" si="4"/>
        <v>876.86123867716253</v>
      </c>
      <c r="M29" s="211">
        <f>L29/Assumptions!$B$6</f>
        <v>3.5074449547086499</v>
      </c>
    </row>
    <row r="30" spans="1:13" ht="17.25" thickBot="1" x14ac:dyDescent="0.3">
      <c r="A30" s="147">
        <v>25</v>
      </c>
      <c r="B30" s="212">
        <f>B29*(1+Assumptions!$B$28)</f>
        <v>593.81504283882316</v>
      </c>
      <c r="C30" s="212">
        <f t="shared" si="0"/>
        <v>199.54221051919666</v>
      </c>
      <c r="D30" s="213">
        <f>IF(A30&lt;=5,0,Assumptions!$B$54)</f>
        <v>0.11</v>
      </c>
      <c r="E30" s="214">
        <f t="shared" si="1"/>
        <v>19.774453294695164</v>
      </c>
      <c r="F30" s="214">
        <f t="shared" si="2"/>
        <v>174.79221051919649</v>
      </c>
      <c r="G30" s="214">
        <f>-(B30+C30)*Assumptions!$B$21</f>
        <v>-9.9169656669752477</v>
      </c>
      <c r="H30" s="212">
        <f t="shared" si="3"/>
        <v>783.44028769104455</v>
      </c>
      <c r="I30" s="148">
        <f>H30/(Assumptions!$B$6/Assumptions!$B$8*1000000)*1000000</f>
        <v>156688.0575382089</v>
      </c>
      <c r="J30" s="212">
        <f>Assumptions!$B$6*Assumptions!$B$13*A30</f>
        <v>125</v>
      </c>
      <c r="K30" s="214">
        <f>F30*Assumptions!$B$14</f>
        <v>17.479221051919648</v>
      </c>
      <c r="L30" s="212">
        <f t="shared" si="4"/>
        <v>925.91950874296424</v>
      </c>
      <c r="M30" s="215">
        <f>L30/Assumptions!$B$6</f>
        <v>3.703678034971857</v>
      </c>
    </row>
    <row r="31" spans="1:13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5">
      <c r="A32" s="154" t="s">
        <v>200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</row>
    <row r="33" spans="1:13" ht="18.75" x14ac:dyDescent="0.25">
      <c r="A33" s="7" t="s">
        <v>201</v>
      </c>
      <c r="B33" s="216">
        <f>Assumptions!B6</f>
        <v>250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5">
      <c r="A35" s="217" t="s">
        <v>202</v>
      </c>
      <c r="B35" s="46"/>
      <c r="C35" s="46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25">
      <c r="A36" s="47" t="s">
        <v>203</v>
      </c>
      <c r="B36" s="218">
        <f>Assumptions!B6</f>
        <v>250</v>
      </c>
      <c r="C36" s="47" t="s">
        <v>204</v>
      </c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25">
      <c r="A37" s="46" t="s">
        <v>205</v>
      </c>
      <c r="B37" s="219">
        <f>J30</f>
        <v>125</v>
      </c>
      <c r="C37" s="46" t="s">
        <v>206</v>
      </c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x14ac:dyDescent="0.25">
      <c r="A38" s="47" t="s">
        <v>207</v>
      </c>
      <c r="B38" s="218">
        <f>MAX(B30-Assumptions!B6,0)</f>
        <v>343.81504283882316</v>
      </c>
      <c r="C38" s="47" t="s">
        <v>208</v>
      </c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25">
      <c r="A39" s="46" t="s">
        <v>209</v>
      </c>
      <c r="B39" s="219">
        <f>K30</f>
        <v>17.479221051919648</v>
      </c>
      <c r="C39" s="46" t="s">
        <v>210</v>
      </c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8.75" x14ac:dyDescent="0.25">
      <c r="A40" s="48" t="s">
        <v>211</v>
      </c>
      <c r="B40" s="220">
        <f>B36+B37+B38+B39</f>
        <v>736.29426389074285</v>
      </c>
      <c r="C40" s="4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x14ac:dyDescent="0.25">
      <c r="A42" s="221" t="s">
        <v>212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8" x14ac:dyDescent="0.25">
      <c r="A43" s="7" t="s">
        <v>213</v>
      </c>
      <c r="B43" s="222">
        <f>B40/B33</f>
        <v>2.9451770555629713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8" x14ac:dyDescent="0.25">
      <c r="A44" s="7" t="s">
        <v>214</v>
      </c>
      <c r="B44" s="223">
        <f>B40/B33-1</f>
        <v>1.9451770555629713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8.75" x14ac:dyDescent="0.25">
      <c r="A45" s="7" t="s">
        <v>215</v>
      </c>
      <c r="B45" s="224">
        <f>(B40/B33)^(1/25)-1</f>
        <v>4.4153759093558342E-2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5">
      <c r="A47" s="154" t="s">
        <v>216</v>
      </c>
      <c r="B47" s="154"/>
      <c r="C47" s="154"/>
      <c r="D47" s="154"/>
      <c r="E47" s="154"/>
      <c r="F47" s="7"/>
      <c r="G47" s="7"/>
      <c r="H47" s="7"/>
      <c r="I47" s="7"/>
      <c r="J47" s="7"/>
      <c r="K47" s="7"/>
      <c r="L47" s="7"/>
      <c r="M47" s="7"/>
    </row>
    <row r="48" spans="1:13" ht="30.75" x14ac:dyDescent="0.25">
      <c r="A48" s="78"/>
      <c r="B48" s="225" t="s">
        <v>75</v>
      </c>
      <c r="C48" s="226" t="s">
        <v>73</v>
      </c>
      <c r="D48" s="227" t="s">
        <v>71</v>
      </c>
      <c r="E48" s="80" t="s">
        <v>217</v>
      </c>
      <c r="F48" s="7"/>
      <c r="G48" s="7"/>
      <c r="H48" s="7"/>
      <c r="I48" s="7"/>
      <c r="J48" s="7"/>
      <c r="K48" s="7"/>
      <c r="L48" s="7"/>
      <c r="M48" s="7"/>
    </row>
    <row r="49" spans="1:13" x14ac:dyDescent="0.25">
      <c r="A49" s="81" t="s">
        <v>69</v>
      </c>
      <c r="B49" s="228">
        <f>Assumptions!C55</f>
        <v>0.35</v>
      </c>
      <c r="C49" s="228">
        <f>Assumptions!C54</f>
        <v>0.45</v>
      </c>
      <c r="D49" s="228">
        <f>Assumptions!C53</f>
        <v>0.2</v>
      </c>
      <c r="E49" s="229">
        <f>SUM(B49:D49)</f>
        <v>1</v>
      </c>
      <c r="F49" s="7"/>
      <c r="G49" s="7"/>
      <c r="H49" s="7"/>
      <c r="I49" s="7"/>
      <c r="J49" s="7"/>
      <c r="K49" s="7"/>
      <c r="L49" s="7"/>
      <c r="M49" s="7"/>
    </row>
    <row r="50" spans="1:13" x14ac:dyDescent="0.25">
      <c r="A50" s="84" t="s">
        <v>218</v>
      </c>
      <c r="B50" s="230">
        <f>Assumptions!B55</f>
        <v>0.03</v>
      </c>
      <c r="C50" s="230">
        <f>Assumptions!B54</f>
        <v>0.11</v>
      </c>
      <c r="D50" s="230">
        <f>Assumptions!B53</f>
        <v>0.18</v>
      </c>
      <c r="E50" s="231"/>
      <c r="F50" s="7"/>
      <c r="G50" s="7"/>
      <c r="H50" s="7"/>
      <c r="I50" s="7"/>
      <c r="J50" s="7"/>
      <c r="K50" s="7"/>
      <c r="L50" s="7"/>
      <c r="M50" s="7"/>
    </row>
    <row r="51" spans="1:13" x14ac:dyDescent="0.25">
      <c r="A51" s="81" t="s">
        <v>219</v>
      </c>
      <c r="B51" s="232" t="s">
        <v>220</v>
      </c>
      <c r="C51" s="232" t="s">
        <v>221</v>
      </c>
      <c r="D51" s="232" t="s">
        <v>222</v>
      </c>
      <c r="E51" s="231"/>
      <c r="F51" s="7"/>
      <c r="G51" s="7"/>
      <c r="H51" s="7"/>
      <c r="I51" s="7"/>
      <c r="J51" s="7"/>
      <c r="K51" s="7"/>
      <c r="L51" s="7"/>
      <c r="M51" s="7"/>
    </row>
    <row r="52" spans="1:13" x14ac:dyDescent="0.25">
      <c r="A52" s="84"/>
      <c r="B52" s="232"/>
      <c r="C52" s="232"/>
      <c r="D52" s="232"/>
      <c r="E52" s="231"/>
      <c r="F52" s="7"/>
      <c r="G52" s="7"/>
      <c r="H52" s="7"/>
      <c r="I52" s="7"/>
      <c r="J52" s="7"/>
      <c r="K52" s="7"/>
      <c r="L52" s="7"/>
      <c r="M52" s="7"/>
    </row>
    <row r="53" spans="1:13" x14ac:dyDescent="0.25">
      <c r="A53" s="81" t="s">
        <v>223</v>
      </c>
      <c r="B53" s="233">
        <v>250</v>
      </c>
      <c r="C53" s="233">
        <v>250</v>
      </c>
      <c r="D53" s="233">
        <v>250</v>
      </c>
      <c r="E53" s="231"/>
      <c r="F53" s="7"/>
      <c r="G53" s="7"/>
      <c r="H53" s="7"/>
      <c r="I53" s="7"/>
      <c r="J53" s="7"/>
      <c r="K53" s="7"/>
      <c r="L53" s="7"/>
      <c r="M53" s="7"/>
    </row>
    <row r="54" spans="1:13" x14ac:dyDescent="0.25">
      <c r="A54" s="84" t="s">
        <v>224</v>
      </c>
      <c r="B54" s="233">
        <v>125</v>
      </c>
      <c r="C54" s="233">
        <v>125</v>
      </c>
      <c r="D54" s="233">
        <v>125</v>
      </c>
      <c r="E54" s="231"/>
      <c r="F54" s="7"/>
      <c r="G54" s="7"/>
      <c r="H54" s="7"/>
      <c r="I54" s="7"/>
      <c r="J54" s="7"/>
      <c r="K54" s="7"/>
      <c r="L54" s="7"/>
      <c r="M54" s="7"/>
    </row>
    <row r="55" spans="1:13" x14ac:dyDescent="0.25">
      <c r="A55" s="81" t="s">
        <v>225</v>
      </c>
      <c r="B55" s="234">
        <f>MAX('Capital Allocation'!B23*Assumptions!B27*(1+Assumptions!B30)^25/1000000-Assumptions!B6,0)</f>
        <v>35.661726890088914</v>
      </c>
      <c r="C55" s="234">
        <f>MAX('Capital Allocation'!B23*Assumptions!B27*(1+Assumptions!B28)^25/1000000-Assumptions!B6,0)</f>
        <v>343.8150428388235</v>
      </c>
      <c r="D55" s="234">
        <f>MAX('Capital Allocation'!B23*Assumptions!B27*(1+Assumptions!B29)^25/1000000-Assumptions!B6,0)</f>
        <v>958.96062058737402</v>
      </c>
      <c r="E55" s="231"/>
      <c r="F55" s="7"/>
      <c r="G55" s="7"/>
      <c r="H55" s="7"/>
      <c r="I55" s="7"/>
      <c r="J55" s="7"/>
      <c r="K55" s="7"/>
      <c r="L55" s="7"/>
      <c r="M55" s="7"/>
    </row>
    <row r="56" spans="1:13" x14ac:dyDescent="0.25">
      <c r="A56" s="84" t="s">
        <v>226</v>
      </c>
      <c r="B56" s="234">
        <f>'Capital Allocation'!B11*((1+B50)^25-1)</f>
        <v>27.071003758941792</v>
      </c>
      <c r="C56" s="234">
        <f>'Capital Allocation'!B11*((1+C50)^25-1)</f>
        <v>311.49022912205328</v>
      </c>
      <c r="D56" s="234">
        <f>'Capital Allocation'!B11*((1+D50)^25-1)</f>
        <v>1526.2985281020576</v>
      </c>
      <c r="E56" s="231"/>
      <c r="F56" s="7"/>
      <c r="G56" s="7"/>
      <c r="H56" s="7"/>
      <c r="I56" s="7"/>
      <c r="J56" s="7"/>
      <c r="K56" s="7"/>
      <c r="L56" s="7"/>
      <c r="M56" s="7"/>
    </row>
    <row r="57" spans="1:13" x14ac:dyDescent="0.25">
      <c r="A57" s="81" t="s">
        <v>227</v>
      </c>
      <c r="B57" s="234">
        <f>B56*Assumptions!$B$14</f>
        <v>2.7071003758941794</v>
      </c>
      <c r="C57" s="234">
        <f>C56*Assumptions!$B$14</f>
        <v>31.149022912205329</v>
      </c>
      <c r="D57" s="234">
        <f>D56*Assumptions!$B$14</f>
        <v>152.62985281020576</v>
      </c>
      <c r="E57" s="231"/>
      <c r="F57" s="7"/>
      <c r="G57" s="7"/>
      <c r="H57" s="7"/>
      <c r="I57" s="7"/>
      <c r="J57" s="7"/>
      <c r="K57" s="7"/>
      <c r="L57" s="7"/>
      <c r="M57" s="7"/>
    </row>
    <row r="58" spans="1:13" x14ac:dyDescent="0.25">
      <c r="A58" s="84"/>
      <c r="B58" s="232"/>
      <c r="C58" s="232"/>
      <c r="D58" s="232"/>
      <c r="E58" s="231"/>
      <c r="F58" s="7"/>
      <c r="G58" s="7"/>
      <c r="H58" s="7"/>
      <c r="I58" s="7"/>
      <c r="J58" s="7"/>
      <c r="K58" s="7"/>
      <c r="L58" s="7"/>
      <c r="M58" s="7"/>
    </row>
    <row r="59" spans="1:13" x14ac:dyDescent="0.25">
      <c r="A59" s="235" t="s">
        <v>228</v>
      </c>
      <c r="B59" s="236">
        <f>B53+B54+B55+B57</f>
        <v>413.3688272659831</v>
      </c>
      <c r="C59" s="236">
        <f>C53+C54+C55+C57</f>
        <v>749.96406575102878</v>
      </c>
      <c r="D59" s="236">
        <f>D53+D54+D55+D57</f>
        <v>1486.5904733975799</v>
      </c>
      <c r="E59" s="237">
        <f>B59*B49+C59*C49+D59*D49</f>
        <v>779.48101381057302</v>
      </c>
      <c r="F59" s="7"/>
      <c r="G59" s="7"/>
      <c r="H59" s="7"/>
      <c r="I59" s="7"/>
      <c r="J59" s="7"/>
      <c r="K59" s="7"/>
      <c r="L59" s="7"/>
      <c r="M59" s="7"/>
    </row>
    <row r="60" spans="1:13" x14ac:dyDescent="0.25">
      <c r="A60" s="238" t="s">
        <v>198</v>
      </c>
      <c r="B60" s="239">
        <f>B59/Assumptions!$B$6</f>
        <v>1.6534753090639325</v>
      </c>
      <c r="C60" s="239">
        <f>C59/Assumptions!$B$6</f>
        <v>2.9998562630041152</v>
      </c>
      <c r="D60" s="239">
        <f>D59/Assumptions!$B$6</f>
        <v>5.9463618935903195</v>
      </c>
      <c r="E60" s="240">
        <f>E59/Assumptions!$B$6</f>
        <v>3.117924055242292</v>
      </c>
      <c r="F60" s="7"/>
      <c r="G60" s="7"/>
      <c r="H60" s="7"/>
      <c r="I60" s="7"/>
      <c r="J60" s="7"/>
      <c r="K60" s="7"/>
      <c r="L60" s="7"/>
      <c r="M60" s="7"/>
    </row>
    <row r="61" spans="1:13" x14ac:dyDescent="0.25">
      <c r="A61" s="241" t="s">
        <v>229</v>
      </c>
      <c r="B61" s="242">
        <f>B60-1</f>
        <v>0.65347530906393247</v>
      </c>
      <c r="C61" s="242">
        <f>C60-1</f>
        <v>1.9998562630041152</v>
      </c>
      <c r="D61" s="242">
        <f>D60-1</f>
        <v>4.9463618935903195</v>
      </c>
      <c r="E61" s="243">
        <f>E60-1</f>
        <v>2.117924055242292</v>
      </c>
      <c r="F61" s="7"/>
      <c r="G61" s="7"/>
      <c r="H61" s="7"/>
      <c r="I61" s="7"/>
      <c r="J61" s="7"/>
      <c r="K61" s="7"/>
      <c r="L61" s="7"/>
      <c r="M61" s="7"/>
    </row>
    <row r="62" spans="1:13" x14ac:dyDescent="0.25">
      <c r="A62" s="244" t="s">
        <v>230</v>
      </c>
      <c r="B62" s="245">
        <f>(B59/Assumptions!$B$6)^(1/25)-1</f>
        <v>2.0318846270914293E-2</v>
      </c>
      <c r="C62" s="245">
        <f>(C59/Assumptions!$B$6)^(1/25)-1</f>
        <v>4.4922348507535181E-2</v>
      </c>
      <c r="D62" s="245">
        <f>(D59/Assumptions!$B$6)^(1/25)-1</f>
        <v>7.3915358556899236E-2</v>
      </c>
      <c r="E62" s="246">
        <f>(E59/Assumptions!$B$6)^(1/25)-1</f>
        <v>4.6537081955333681E-2</v>
      </c>
      <c r="F62" s="7"/>
      <c r="G62" s="7"/>
      <c r="H62" s="7"/>
      <c r="I62" s="7"/>
      <c r="J62" s="7"/>
      <c r="K62" s="7"/>
      <c r="L62" s="7"/>
      <c r="M62" s="7"/>
    </row>
    <row r="63" spans="1:13" ht="17.25" thickBot="1" x14ac:dyDescent="0.3">
      <c r="A63" s="192" t="s">
        <v>231</v>
      </c>
      <c r="B63" s="247">
        <f>B59/(1+Assumptions!$B$58)^25-Assumptions!$B$6</f>
        <v>-189.64074988631313</v>
      </c>
      <c r="C63" s="247">
        <f>C59/(1+Assumptions!$B$58)^25-Assumptions!$B$6</f>
        <v>-140.49181835906427</v>
      </c>
      <c r="D63" s="247">
        <f>D59/(1+Assumptions!$B$58)^25-Assumptions!$B$6</f>
        <v>-32.931173610989106</v>
      </c>
      <c r="E63" s="248">
        <f>E59/(1+Assumptions!$B$58)^25-Assumptions!$B$6</f>
        <v>-136.18181544398635</v>
      </c>
      <c r="F63" s="7"/>
      <c r="G63" s="7"/>
      <c r="H63" s="7"/>
      <c r="I63" s="7"/>
      <c r="J63" s="7"/>
      <c r="K63" s="7"/>
      <c r="L63" s="7"/>
      <c r="M63" s="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A788-6CB0-5540-AFF9-CB15B9EA3275}">
  <sheetPr>
    <tabColor rgb="FFC0392B"/>
  </sheetPr>
  <dimension ref="A1:H36"/>
  <sheetViews>
    <sheetView showGridLines="0" workbookViewId="0"/>
  </sheetViews>
  <sheetFormatPr defaultColWidth="10.8515625" defaultRowHeight="16.5" x14ac:dyDescent="0.25"/>
  <cols>
    <col min="1" max="1" width="29.96484375" customWidth="1"/>
    <col min="2" max="2" width="19.9765625" customWidth="1"/>
    <col min="3" max="3" width="41.6796875" customWidth="1"/>
    <col min="4" max="8" width="19.9765625" customWidth="1"/>
  </cols>
  <sheetData>
    <row r="1" spans="1:8" ht="21" x14ac:dyDescent="0.3">
      <c r="A1" s="66" t="s">
        <v>232</v>
      </c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ht="17.25" thickBot="1" x14ac:dyDescent="0.3">
      <c r="A3" s="154" t="s">
        <v>233</v>
      </c>
      <c r="B3" s="154"/>
      <c r="C3" s="154"/>
      <c r="D3" s="154"/>
      <c r="E3" s="154"/>
      <c r="F3" s="154"/>
      <c r="G3" s="154"/>
      <c r="H3" s="154"/>
    </row>
    <row r="4" spans="1:8" x14ac:dyDescent="0.25">
      <c r="A4" s="249" t="s">
        <v>234</v>
      </c>
      <c r="B4" s="250">
        <v>0</v>
      </c>
      <c r="C4" s="251">
        <v>0.03</v>
      </c>
      <c r="D4" s="251">
        <v>0.06</v>
      </c>
      <c r="E4" s="251">
        <v>0.11</v>
      </c>
      <c r="F4" s="251">
        <v>0.15</v>
      </c>
      <c r="G4" s="251">
        <v>0.18</v>
      </c>
      <c r="H4" s="252">
        <v>0.25</v>
      </c>
    </row>
    <row r="5" spans="1:8" x14ac:dyDescent="0.25">
      <c r="A5" s="253">
        <v>-0.02</v>
      </c>
      <c r="B5" s="254">
        <f>(Assumptions!$B$6+Assumptions!$B$6*Assumptions!$B$12+MAX('Capital Allocation'!$B$23*Assumptions!$B$27*(1+$A5)^25/1000000-Assumptions!$B$6,0)+('Capital Allocation'!$B$11*((1+B$4)^25-1))*Assumptions!$B$14)/Assumptions!$B$6</f>
        <v>1.5</v>
      </c>
      <c r="C5" s="255">
        <f>(Assumptions!$B$6+Assumptions!$B$6*Assumptions!$B$12+MAX('Capital Allocation'!$B$23*Assumptions!$B$27*(1+$A5)^25/1000000-Assumptions!$B$6,0)+('Capital Allocation'!$B$11*((1+C$4)^25-1))*Assumptions!$B$14)/Assumptions!$B$6</f>
        <v>1.5108284015035767</v>
      </c>
      <c r="D5" s="255">
        <f>(Assumptions!$B$6+Assumptions!$B$6*Assumptions!$B$12+MAX('Capital Allocation'!$B$23*Assumptions!$B$27*(1+$A5)^25/1000000-Assumptions!$B$6,0)+('Capital Allocation'!$B$11*((1+D$4)^25-1))*Assumptions!$B$14)/Assumptions!$B$6</f>
        <v>1.5325895201254605</v>
      </c>
      <c r="E5" s="255">
        <f>(Assumptions!$B$6+Assumptions!$B$6*Assumptions!$B$12+MAX('Capital Allocation'!$B$23*Assumptions!$B$27*(1+$A5)^25/1000000-Assumptions!$B$6,0)+('Capital Allocation'!$B$11*((1+E$4)^25-1))*Assumptions!$B$14)/Assumptions!$B$6</f>
        <v>1.6245960916488213</v>
      </c>
      <c r="F5" s="255">
        <f>(Assumptions!$B$6+Assumptions!$B$6*Assumptions!$B$12+MAX('Capital Allocation'!$B$23*Assumptions!$B$27*(1+$A5)^25/1000000-Assumptions!$B$6,0)+('Capital Allocation'!$B$11*((1+F$4)^25-1))*Assumptions!$B$14)/Assumptions!$B$6</f>
        <v>1.8159976309359172</v>
      </c>
      <c r="G5" s="256">
        <f>(Assumptions!$B$6+Assumptions!$B$6*Assumptions!$B$12+MAX('Capital Allocation'!$B$23*Assumptions!$B$27*(1+$A5)^25/1000000-Assumptions!$B$6,0)+('Capital Allocation'!$B$11*((1+G$4)^25-1))*Assumptions!$B$14)/Assumptions!$B$6</f>
        <v>2.1105194112408232</v>
      </c>
      <c r="H5" s="257">
        <f>(Assumptions!$B$6+Assumptions!$B$6*Assumptions!$B$12+MAX('Capital Allocation'!$B$23*Assumptions!$B$27*(1+$A5)^25/1000000-Assumptions!$B$6,0)+('Capital Allocation'!$B$11*((1+H$4)^25-1))*Assumptions!$B$14)/Assumptions!$B$6</f>
        <v>4.1106081805679917</v>
      </c>
    </row>
    <row r="6" spans="1:8" x14ac:dyDescent="0.25">
      <c r="A6" s="253">
        <v>0</v>
      </c>
      <c r="B6" s="254">
        <f>(Assumptions!$B$6+Assumptions!$B$6*Assumptions!$B$12+MAX('Capital Allocation'!$B$23*Assumptions!$B$27*(1+$A6)^25/1000000-Assumptions!$B$6,0)+('Capital Allocation'!$B$11*((1+B$4)^25-1))*Assumptions!$B$14)/Assumptions!$B$6</f>
        <v>1.5</v>
      </c>
      <c r="C6" s="255">
        <f>(Assumptions!$B$6+Assumptions!$B$6*Assumptions!$B$12+MAX('Capital Allocation'!$B$23*Assumptions!$B$27*(1+$A6)^25/1000000-Assumptions!$B$6,0)+('Capital Allocation'!$B$11*((1+C$4)^25-1))*Assumptions!$B$14)/Assumptions!$B$6</f>
        <v>1.5108284015035767</v>
      </c>
      <c r="D6" s="255">
        <f>(Assumptions!$B$6+Assumptions!$B$6*Assumptions!$B$12+MAX('Capital Allocation'!$B$23*Assumptions!$B$27*(1+$A6)^25/1000000-Assumptions!$B$6,0)+('Capital Allocation'!$B$11*((1+D$4)^25-1))*Assumptions!$B$14)/Assumptions!$B$6</f>
        <v>1.5325895201254605</v>
      </c>
      <c r="E6" s="255">
        <f>(Assumptions!$B$6+Assumptions!$B$6*Assumptions!$B$12+MAX('Capital Allocation'!$B$23*Assumptions!$B$27*(1+$A6)^25/1000000-Assumptions!$B$6,0)+('Capital Allocation'!$B$11*((1+E$4)^25-1))*Assumptions!$B$14)/Assumptions!$B$6</f>
        <v>1.6245960916488213</v>
      </c>
      <c r="F6" s="255">
        <f>(Assumptions!$B$6+Assumptions!$B$6*Assumptions!$B$12+MAX('Capital Allocation'!$B$23*Assumptions!$B$27*(1+$A6)^25/1000000-Assumptions!$B$6,0)+('Capital Allocation'!$B$11*((1+F$4)^25-1))*Assumptions!$B$14)/Assumptions!$B$6</f>
        <v>1.8159976309359172</v>
      </c>
      <c r="G6" s="256">
        <f>(Assumptions!$B$6+Assumptions!$B$6*Assumptions!$B$12+MAX('Capital Allocation'!$B$23*Assumptions!$B$27*(1+$A6)^25/1000000-Assumptions!$B$6,0)+('Capital Allocation'!$B$11*((1+G$4)^25-1))*Assumptions!$B$14)/Assumptions!$B$6</f>
        <v>2.1105194112408232</v>
      </c>
      <c r="H6" s="257">
        <f>(Assumptions!$B$6+Assumptions!$B$6*Assumptions!$B$12+MAX('Capital Allocation'!$B$23*Assumptions!$B$27*(1+$A6)^25/1000000-Assumptions!$B$6,0)+('Capital Allocation'!$B$11*((1+H$4)^25-1))*Assumptions!$B$14)/Assumptions!$B$6</f>
        <v>4.1106081805679917</v>
      </c>
    </row>
    <row r="7" spans="1:8" x14ac:dyDescent="0.25">
      <c r="A7" s="253">
        <v>0.02</v>
      </c>
      <c r="B7" s="254">
        <f>(Assumptions!$B$6+Assumptions!$B$6*Assumptions!$B$12+MAX('Capital Allocation'!$B$23*Assumptions!$B$27*(1+$A7)^25/1000000-Assumptions!$B$6,0)+('Capital Allocation'!$B$11*((1+B$4)^25-1))*Assumptions!$B$14)/Assumptions!$B$6</f>
        <v>1.9617799410680741</v>
      </c>
      <c r="C7" s="255">
        <f>(Assumptions!$B$6+Assumptions!$B$6*Assumptions!$B$12+MAX('Capital Allocation'!$B$23*Assumptions!$B$27*(1+$A7)^25/1000000-Assumptions!$B$6,0)+('Capital Allocation'!$B$11*((1+C$4)^25-1))*Assumptions!$B$14)/Assumptions!$B$6</f>
        <v>1.9726083425716507</v>
      </c>
      <c r="D7" s="255">
        <f>(Assumptions!$B$6+Assumptions!$B$6*Assumptions!$B$12+MAX('Capital Allocation'!$B$23*Assumptions!$B$27*(1+$A7)^25/1000000-Assumptions!$B$6,0)+('Capital Allocation'!$B$11*((1+D$4)^25-1))*Assumptions!$B$14)/Assumptions!$B$6</f>
        <v>1.9943694611935345</v>
      </c>
      <c r="E7" s="256">
        <f>(Assumptions!$B$6+Assumptions!$B$6*Assumptions!$B$12+MAX('Capital Allocation'!$B$23*Assumptions!$B$27*(1+$A7)^25/1000000-Assumptions!$B$6,0)+('Capital Allocation'!$B$11*((1+E$4)^25-1))*Assumptions!$B$14)/Assumptions!$B$6</f>
        <v>2.0863760327168954</v>
      </c>
      <c r="F7" s="256">
        <f>(Assumptions!$B$6+Assumptions!$B$6*Assumptions!$B$12+MAX('Capital Allocation'!$B$23*Assumptions!$B$27*(1+$A7)^25/1000000-Assumptions!$B$6,0)+('Capital Allocation'!$B$11*((1+F$4)^25-1))*Assumptions!$B$14)/Assumptions!$B$6</f>
        <v>2.2777775720039912</v>
      </c>
      <c r="G7" s="256">
        <f>(Assumptions!$B$6+Assumptions!$B$6*Assumptions!$B$12+MAX('Capital Allocation'!$B$23*Assumptions!$B$27*(1+$A7)^25/1000000-Assumptions!$B$6,0)+('Capital Allocation'!$B$11*((1+G$4)^25-1))*Assumptions!$B$14)/Assumptions!$B$6</f>
        <v>2.5722993523088973</v>
      </c>
      <c r="H7" s="257">
        <f>(Assumptions!$B$6+Assumptions!$B$6*Assumptions!$B$12+MAX('Capital Allocation'!$B$23*Assumptions!$B$27*(1+$A7)^25/1000000-Assumptions!$B$6,0)+('Capital Allocation'!$B$11*((1+H$4)^25-1))*Assumptions!$B$14)/Assumptions!$B$6</f>
        <v>4.5723881216360658</v>
      </c>
    </row>
    <row r="8" spans="1:8" x14ac:dyDescent="0.25">
      <c r="A8" s="253">
        <v>0.04</v>
      </c>
      <c r="B8" s="258">
        <f>(Assumptions!$B$6+Assumptions!$B$6*Assumptions!$B$12+MAX('Capital Allocation'!$B$23*Assumptions!$B$27*(1+$A8)^25/1000000-Assumptions!$B$6,0)+('Capital Allocation'!$B$11*((1+B$4)^25-1))*Assumptions!$B$14)/Assumptions!$B$6</f>
        <v>2.8752601713552939</v>
      </c>
      <c r="C8" s="256">
        <f>(Assumptions!$B$6+Assumptions!$B$6*Assumptions!$B$12+MAX('Capital Allocation'!$B$23*Assumptions!$B$27*(1+$A8)^25/1000000-Assumptions!$B$6,0)+('Capital Allocation'!$B$11*((1+C$4)^25-1))*Assumptions!$B$14)/Assumptions!$B$6</f>
        <v>2.8860885728588705</v>
      </c>
      <c r="D8" s="256">
        <f>(Assumptions!$B$6+Assumptions!$B$6*Assumptions!$B$12+MAX('Capital Allocation'!$B$23*Assumptions!$B$27*(1+$A8)^25/1000000-Assumptions!$B$6,0)+('Capital Allocation'!$B$11*((1+D$4)^25-1))*Assumptions!$B$14)/Assumptions!$B$6</f>
        <v>2.9078496914807546</v>
      </c>
      <c r="E8" s="259">
        <f>(Assumptions!$B$6+Assumptions!$B$6*Assumptions!$B$12+MAX('Capital Allocation'!$B$23*Assumptions!$B$27*(1+$A8)^25/1000000-Assumptions!$B$6,0)+('Capital Allocation'!$B$11*((1+E$4)^25-1))*Assumptions!$B$14)/Assumptions!$B$6</f>
        <v>2.9998562630041152</v>
      </c>
      <c r="F8" s="260">
        <f>(Assumptions!$B$6+Assumptions!$B$6*Assumptions!$B$12+MAX('Capital Allocation'!$B$23*Assumptions!$B$27*(1+$A8)^25/1000000-Assumptions!$B$6,0)+('Capital Allocation'!$B$11*((1+F$4)^25-1))*Assumptions!$B$14)/Assumptions!$B$6</f>
        <v>3.191257802291211</v>
      </c>
      <c r="G8" s="260">
        <f>(Assumptions!$B$6+Assumptions!$B$6*Assumptions!$B$12+MAX('Capital Allocation'!$B$23*Assumptions!$B$27*(1+$A8)^25/1000000-Assumptions!$B$6,0)+('Capital Allocation'!$B$11*((1+G$4)^25-1))*Assumptions!$B$14)/Assumptions!$B$6</f>
        <v>3.4857795825961171</v>
      </c>
      <c r="H8" s="261">
        <f>(Assumptions!$B$6+Assumptions!$B$6*Assumptions!$B$12+MAX('Capital Allocation'!$B$23*Assumptions!$B$27*(1+$A8)^25/1000000-Assumptions!$B$6,0)+('Capital Allocation'!$B$11*((1+H$4)^25-1))*Assumptions!$B$14)/Assumptions!$B$6</f>
        <v>5.4858683519232851</v>
      </c>
    </row>
    <row r="9" spans="1:8" x14ac:dyDescent="0.25">
      <c r="A9" s="253">
        <v>0.06</v>
      </c>
      <c r="B9" s="262">
        <f>(Assumptions!$B$6+Assumptions!$B$6*Assumptions!$B$12+MAX('Capital Allocation'!$B$23*Assumptions!$B$27*(1+$A9)^25/1000000-Assumptions!$B$6,0)+('Capital Allocation'!$B$11*((1+B$4)^25-1))*Assumptions!$B$14)/Assumptions!$B$6</f>
        <v>4.3240568112914479</v>
      </c>
      <c r="C9" s="260">
        <f>(Assumptions!$B$6+Assumptions!$B$6*Assumptions!$B$12+MAX('Capital Allocation'!$B$23*Assumptions!$B$27*(1+$A9)^25/1000000-Assumptions!$B$6,0)+('Capital Allocation'!$B$11*((1+C$4)^25-1))*Assumptions!$B$14)/Assumptions!$B$6</f>
        <v>4.334885212795025</v>
      </c>
      <c r="D9" s="260">
        <f>(Assumptions!$B$6+Assumptions!$B$6*Assumptions!$B$12+MAX('Capital Allocation'!$B$23*Assumptions!$B$27*(1+$A9)^25/1000000-Assumptions!$B$6,0)+('Capital Allocation'!$B$11*((1+D$4)^25-1))*Assumptions!$B$14)/Assumptions!$B$6</f>
        <v>4.3566463314169086</v>
      </c>
      <c r="E9" s="260">
        <f>(Assumptions!$B$6+Assumptions!$B$6*Assumptions!$B$12+MAX('Capital Allocation'!$B$23*Assumptions!$B$27*(1+$A9)^25/1000000-Assumptions!$B$6,0)+('Capital Allocation'!$B$11*((1+E$4)^25-1))*Assumptions!$B$14)/Assumptions!$B$6</f>
        <v>4.4486529029402693</v>
      </c>
      <c r="F9" s="260">
        <f>(Assumptions!$B$6+Assumptions!$B$6*Assumptions!$B$12+MAX('Capital Allocation'!$B$23*Assumptions!$B$27*(1+$A9)^25/1000000-Assumptions!$B$6,0)+('Capital Allocation'!$B$11*((1+F$4)^25-1))*Assumptions!$B$14)/Assumptions!$B$6</f>
        <v>4.6400544422273651</v>
      </c>
      <c r="G9" s="260">
        <f>(Assumptions!$B$6+Assumptions!$B$6*Assumptions!$B$12+MAX('Capital Allocation'!$B$23*Assumptions!$B$27*(1+$A9)^25/1000000-Assumptions!$B$6,0)+('Capital Allocation'!$B$11*((1+G$4)^25-1))*Assumptions!$B$14)/Assumptions!$B$6</f>
        <v>4.9345762225322707</v>
      </c>
      <c r="H9" s="261">
        <f>(Assumptions!$B$6+Assumptions!$B$6*Assumptions!$B$12+MAX('Capital Allocation'!$B$23*Assumptions!$B$27*(1+$A9)^25/1000000-Assumptions!$B$6,0)+('Capital Allocation'!$B$11*((1+H$4)^25-1))*Assumptions!$B$14)/Assumptions!$B$6</f>
        <v>6.9346649918594396</v>
      </c>
    </row>
    <row r="10" spans="1:8" x14ac:dyDescent="0.25">
      <c r="A10" s="253">
        <v>0.08</v>
      </c>
      <c r="B10" s="263">
        <f>(Assumptions!$B$6+Assumptions!$B$6*Assumptions!$B$12+MAX('Capital Allocation'!$B$23*Assumptions!$B$27*(1+$A10)^25/1000000-Assumptions!$B$6,0)+('Capital Allocation'!$B$11*((1+B$4)^25-1))*Assumptions!$B$14)/Assumptions!$B$6</f>
        <v>6.6019913998314177</v>
      </c>
      <c r="C10" s="264">
        <f>(Assumptions!$B$6+Assumptions!$B$6*Assumptions!$B$12+MAX('Capital Allocation'!$B$23*Assumptions!$B$27*(1+$A10)^25/1000000-Assumptions!$B$6,0)+('Capital Allocation'!$B$11*((1+C$4)^25-1))*Assumptions!$B$14)/Assumptions!$B$6</f>
        <v>6.6128198013349948</v>
      </c>
      <c r="D10" s="264">
        <f>(Assumptions!$B$6+Assumptions!$B$6*Assumptions!$B$12+MAX('Capital Allocation'!$B$23*Assumptions!$B$27*(1+$A10)^25/1000000-Assumptions!$B$6,0)+('Capital Allocation'!$B$11*((1+D$4)^25-1))*Assumptions!$B$14)/Assumptions!$B$6</f>
        <v>6.6345809199568784</v>
      </c>
      <c r="E10" s="264">
        <f>(Assumptions!$B$6+Assumptions!$B$6*Assumptions!$B$12+MAX('Capital Allocation'!$B$23*Assumptions!$B$27*(1+$A10)^25/1000000-Assumptions!$B$6,0)+('Capital Allocation'!$B$11*((1+E$4)^25-1))*Assumptions!$B$14)/Assumptions!$B$6</f>
        <v>6.726587491480239</v>
      </c>
      <c r="F10" s="264">
        <f>(Assumptions!$B$6+Assumptions!$B$6*Assumptions!$B$12+MAX('Capital Allocation'!$B$23*Assumptions!$B$27*(1+$A10)^25/1000000-Assumptions!$B$6,0)+('Capital Allocation'!$B$11*((1+F$4)^25-1))*Assumptions!$B$14)/Assumptions!$B$6</f>
        <v>6.9179890307673348</v>
      </c>
      <c r="G10" s="264">
        <f>(Assumptions!$B$6+Assumptions!$B$6*Assumptions!$B$12+MAX('Capital Allocation'!$B$23*Assumptions!$B$27*(1+$A10)^25/1000000-Assumptions!$B$6,0)+('Capital Allocation'!$B$11*((1+G$4)^25-1))*Assumptions!$B$14)/Assumptions!$B$6</f>
        <v>7.2125108110722413</v>
      </c>
      <c r="H10" s="265">
        <f>(Assumptions!$B$6+Assumptions!$B$6*Assumptions!$B$12+MAX('Capital Allocation'!$B$23*Assumptions!$B$27*(1+$A10)^25/1000000-Assumptions!$B$6,0)+('Capital Allocation'!$B$11*((1+H$4)^25-1))*Assumptions!$B$14)/Assumptions!$B$6</f>
        <v>9.2125995803994094</v>
      </c>
    </row>
    <row r="11" spans="1:8" ht="17.25" thickBot="1" x14ac:dyDescent="0.3">
      <c r="A11" s="266">
        <v>0.1</v>
      </c>
      <c r="B11" s="267">
        <f>(Assumptions!$B$6+Assumptions!$B$6*Assumptions!$B$12+MAX('Capital Allocation'!$B$23*Assumptions!$B$27*(1+$A11)^25/1000000-Assumptions!$B$6,0)+('Capital Allocation'!$B$11*((1+B$4)^25-1))*Assumptions!$B$14)/Assumptions!$B$6</f>
        <v>10.153722995559058</v>
      </c>
      <c r="C11" s="268">
        <f>(Assumptions!$B$6+Assumptions!$B$6*Assumptions!$B$12+MAX('Capital Allocation'!$B$23*Assumptions!$B$27*(1+$A11)^25/1000000-Assumptions!$B$6,0)+('Capital Allocation'!$B$11*((1+C$4)^25-1))*Assumptions!$B$14)/Assumptions!$B$6</f>
        <v>10.164551397062635</v>
      </c>
      <c r="D11" s="268">
        <f>(Assumptions!$B$6+Assumptions!$B$6*Assumptions!$B$12+MAX('Capital Allocation'!$B$23*Assumptions!$B$27*(1+$A11)^25/1000000-Assumptions!$B$6,0)+('Capital Allocation'!$B$11*((1+D$4)^25-1))*Assumptions!$B$14)/Assumptions!$B$6</f>
        <v>10.186312515684518</v>
      </c>
      <c r="E11" s="268">
        <f>(Assumptions!$B$6+Assumptions!$B$6*Assumptions!$B$12+MAX('Capital Allocation'!$B$23*Assumptions!$B$27*(1+$A11)^25/1000000-Assumptions!$B$6,0)+('Capital Allocation'!$B$11*((1+E$4)^25-1))*Assumptions!$B$14)/Assumptions!$B$6</f>
        <v>10.27831908720788</v>
      </c>
      <c r="F11" s="268">
        <f>(Assumptions!$B$6+Assumptions!$B$6*Assumptions!$B$12+MAX('Capital Allocation'!$B$23*Assumptions!$B$27*(1+$A11)^25/1000000-Assumptions!$B$6,0)+('Capital Allocation'!$B$11*((1+F$4)^25-1))*Assumptions!$B$14)/Assumptions!$B$6</f>
        <v>10.469720626494974</v>
      </c>
      <c r="G11" s="268">
        <f>(Assumptions!$B$6+Assumptions!$B$6*Assumptions!$B$12+MAX('Capital Allocation'!$B$23*Assumptions!$B$27*(1+$A11)^25/1000000-Assumptions!$B$6,0)+('Capital Allocation'!$B$11*((1+G$4)^25-1))*Assumptions!$B$14)/Assumptions!$B$6</f>
        <v>10.76424240679988</v>
      </c>
      <c r="H11" s="269">
        <f>(Assumptions!$B$6+Assumptions!$B$6*Assumptions!$B$12+MAX('Capital Allocation'!$B$23*Assumptions!$B$27*(1+$A11)^25/1000000-Assumptions!$B$6,0)+('Capital Allocation'!$B$11*((1+H$4)^25-1))*Assumptions!$B$14)/Assumptions!$B$6</f>
        <v>12.764331176127049</v>
      </c>
    </row>
    <row r="12" spans="1:8" x14ac:dyDescent="0.25">
      <c r="A12" s="7"/>
      <c r="B12" s="7"/>
      <c r="C12" s="7"/>
      <c r="D12" s="7"/>
      <c r="E12" s="7"/>
      <c r="F12" s="7"/>
      <c r="G12" s="7"/>
      <c r="H12" s="7"/>
    </row>
    <row r="13" spans="1:8" x14ac:dyDescent="0.25">
      <c r="A13" s="154" t="s">
        <v>235</v>
      </c>
      <c r="B13" s="154"/>
      <c r="C13" s="154"/>
      <c r="D13" s="154"/>
      <c r="E13" s="154"/>
      <c r="F13" s="7"/>
      <c r="G13" s="7"/>
      <c r="H13" s="7"/>
    </row>
    <row r="14" spans="1:8" x14ac:dyDescent="0.25">
      <c r="A14" s="106" t="s">
        <v>236</v>
      </c>
      <c r="B14" s="106" t="s">
        <v>237</v>
      </c>
      <c r="C14" s="106" t="s">
        <v>238</v>
      </c>
      <c r="D14" s="106" t="s">
        <v>239</v>
      </c>
      <c r="E14" s="106" t="s">
        <v>240</v>
      </c>
      <c r="F14" s="7"/>
      <c r="G14" s="7"/>
      <c r="H14" s="7"/>
    </row>
    <row r="15" spans="1:8" x14ac:dyDescent="0.25">
      <c r="A15" s="270">
        <v>1</v>
      </c>
      <c r="B15" s="120">
        <f>'Investor Returns'!H6</f>
        <v>253.20487499999996</v>
      </c>
      <c r="C15" s="120">
        <f>Assumptions!$B$6*Assumptions!$B$18</f>
        <v>15</v>
      </c>
      <c r="D15" s="120">
        <f>B15-C15</f>
        <v>238.20487499999996</v>
      </c>
      <c r="E15" s="121">
        <f>(D15/Assumptions!$B$6)^(1/A15)-1</f>
        <v>-4.7180500000000181E-2</v>
      </c>
      <c r="F15" s="7"/>
      <c r="G15" s="7"/>
      <c r="H15" s="7"/>
    </row>
    <row r="16" spans="1:8" x14ac:dyDescent="0.25">
      <c r="A16" s="271">
        <v>3</v>
      </c>
      <c r="B16" s="272">
        <f>'Investor Returns'!H8</f>
        <v>271.87203779999999</v>
      </c>
      <c r="C16" s="272">
        <f>Assumptions!$B$6*Assumptions!$B$18</f>
        <v>15</v>
      </c>
      <c r="D16" s="272">
        <f>B16-C16</f>
        <v>256.87203779999999</v>
      </c>
      <c r="E16" s="112">
        <f>(D16/Assumptions!$B$6)^(1/A16)-1</f>
        <v>9.0800207503582975E-3</v>
      </c>
      <c r="F16" s="7"/>
      <c r="G16" s="7"/>
      <c r="H16" s="7"/>
    </row>
    <row r="17" spans="1:8" x14ac:dyDescent="0.25">
      <c r="A17" s="270">
        <v>5</v>
      </c>
      <c r="B17" s="120">
        <f>'Investor Returns'!H10</f>
        <v>292.06244108447999</v>
      </c>
      <c r="C17" s="120">
        <f>Assumptions!$B$6*Assumptions!$B$18</f>
        <v>15</v>
      </c>
      <c r="D17" s="120">
        <f>B17-C17</f>
        <v>277.06244108447999</v>
      </c>
      <c r="E17" s="121">
        <f>(D17/Assumptions!$B$6)^(1/A17)-1</f>
        <v>2.0769134324238436E-2</v>
      </c>
      <c r="F17" s="7"/>
      <c r="G17" s="7"/>
      <c r="H17" s="7"/>
    </row>
    <row r="18" spans="1:8" x14ac:dyDescent="0.25">
      <c r="A18" s="271">
        <v>7</v>
      </c>
      <c r="B18" s="272">
        <f>'Investor Returns'!H12</f>
        <v>319.57305033947364</v>
      </c>
      <c r="C18" s="272">
        <f>Assumptions!$B$6*Assumptions!$B$19</f>
        <v>12.5</v>
      </c>
      <c r="D18" s="272">
        <f>B18-C18</f>
        <v>307.07305033947364</v>
      </c>
      <c r="E18" s="112">
        <f>(D18/Assumptions!$B$6)^(1/A18)-1</f>
        <v>2.9810664369608331E-2</v>
      </c>
      <c r="F18" s="7"/>
      <c r="G18" s="7"/>
      <c r="H18" s="7"/>
    </row>
    <row r="19" spans="1:8" x14ac:dyDescent="0.25">
      <c r="A19" s="270">
        <v>10</v>
      </c>
      <c r="B19" s="120">
        <f>'Investor Returns'!H15</f>
        <v>366.78673375673264</v>
      </c>
      <c r="C19" s="120">
        <f>Assumptions!$B$6*Assumptions!$B$19</f>
        <v>12.5</v>
      </c>
      <c r="D19" s="120">
        <f>B19-C19</f>
        <v>354.28673375673264</v>
      </c>
      <c r="E19" s="121">
        <f>(D19/Assumptions!$B$6)^(1/A19)-1</f>
        <v>3.5479459118788803E-2</v>
      </c>
      <c r="F19" s="7"/>
      <c r="G19" s="7"/>
      <c r="H19" s="7"/>
    </row>
    <row r="20" spans="1:8" x14ac:dyDescent="0.25">
      <c r="A20" s="271">
        <v>15</v>
      </c>
      <c r="B20" s="272">
        <f>'Investor Returns'!H20</f>
        <v>465.54288731616299</v>
      </c>
      <c r="C20" s="272">
        <f>Assumptions!$B$6*Assumptions!$B$19</f>
        <v>12.5</v>
      </c>
      <c r="D20" s="272">
        <f>B20-C20</f>
        <v>453.04288731616299</v>
      </c>
      <c r="E20" s="112">
        <f>(D20/Assumptions!$B$6)^(1/A20)-1</f>
        <v>4.0431008421693893E-2</v>
      </c>
      <c r="F20" s="7"/>
      <c r="G20" s="7"/>
      <c r="H20" s="7"/>
    </row>
    <row r="21" spans="1:8" x14ac:dyDescent="0.25">
      <c r="A21" s="270">
        <v>20</v>
      </c>
      <c r="B21" s="120">
        <f>'Investor Returns'!H25</f>
        <v>598.91012907271397</v>
      </c>
      <c r="C21" s="120">
        <f>Assumptions!$B$6*Assumptions!$B$19</f>
        <v>12.5</v>
      </c>
      <c r="D21" s="120">
        <f>B21-C21</f>
        <v>586.41012907271397</v>
      </c>
      <c r="E21" s="121">
        <f>(D21/Assumptions!$B$6)^(1/A21)-1</f>
        <v>4.3549544217370784E-2</v>
      </c>
      <c r="F21" s="7"/>
      <c r="G21" s="7"/>
      <c r="H21" s="7"/>
    </row>
    <row r="22" spans="1:8" ht="17.25" thickBot="1" x14ac:dyDescent="0.3">
      <c r="A22" s="273">
        <v>25</v>
      </c>
      <c r="B22" s="274">
        <f>'Investor Returns'!L30</f>
        <v>925.91950874296424</v>
      </c>
      <c r="C22" s="274">
        <v>0</v>
      </c>
      <c r="D22" s="274">
        <f>B22-C22</f>
        <v>925.91950874296424</v>
      </c>
      <c r="E22" s="275">
        <f>(D22/Assumptions!$B$6)^(1/A22)-1</f>
        <v>5.3768783516333629E-2</v>
      </c>
      <c r="F22" s="7"/>
      <c r="G22" s="7"/>
      <c r="H22" s="7"/>
    </row>
    <row r="23" spans="1:8" x14ac:dyDescent="0.25">
      <c r="A23" s="276"/>
      <c r="B23" s="7"/>
      <c r="C23" s="277" t="s">
        <v>241</v>
      </c>
      <c r="D23" s="7"/>
      <c r="E23" s="7"/>
      <c r="F23" s="7"/>
      <c r="G23" s="7"/>
      <c r="H23" s="7"/>
    </row>
    <row r="24" spans="1:8" x14ac:dyDescent="0.25">
      <c r="A24" s="7"/>
      <c r="B24" s="7"/>
      <c r="C24" s="7"/>
      <c r="D24" s="7"/>
      <c r="E24" s="7"/>
      <c r="F24" s="7"/>
      <c r="G24" s="7"/>
      <c r="H24" s="7"/>
    </row>
    <row r="25" spans="1:8" x14ac:dyDescent="0.25">
      <c r="A25" s="154" t="s">
        <v>242</v>
      </c>
      <c r="B25" s="154"/>
      <c r="C25" s="154"/>
      <c r="D25" s="154"/>
      <c r="E25" s="154"/>
      <c r="F25" s="154"/>
      <c r="G25" s="154"/>
      <c r="H25" s="7"/>
    </row>
    <row r="26" spans="1:8" x14ac:dyDescent="0.25">
      <c r="A26" s="278" t="s">
        <v>243</v>
      </c>
      <c r="B26" s="279" t="s">
        <v>244</v>
      </c>
      <c r="C26" s="279" t="s">
        <v>70</v>
      </c>
      <c r="D26" s="280" t="s">
        <v>245</v>
      </c>
      <c r="E26" s="280" t="s">
        <v>246</v>
      </c>
      <c r="F26" s="280" t="s">
        <v>247</v>
      </c>
      <c r="G26" s="281" t="s">
        <v>248</v>
      </c>
      <c r="H26" s="7"/>
    </row>
    <row r="27" spans="1:8" x14ac:dyDescent="0.25">
      <c r="A27" s="282" t="s">
        <v>249</v>
      </c>
      <c r="B27" s="92" t="s">
        <v>250</v>
      </c>
      <c r="C27" s="92" t="s">
        <v>251</v>
      </c>
      <c r="D27" s="283">
        <v>4</v>
      </c>
      <c r="E27" s="283">
        <v>5</v>
      </c>
      <c r="F27" s="284">
        <f>D27*E27</f>
        <v>20</v>
      </c>
      <c r="G27" s="285">
        <v>15</v>
      </c>
      <c r="H27" s="7"/>
    </row>
    <row r="28" spans="1:8" x14ac:dyDescent="0.25">
      <c r="A28" s="286" t="s">
        <v>252</v>
      </c>
      <c r="B28" s="91" t="s">
        <v>250</v>
      </c>
      <c r="C28" s="91" t="s">
        <v>253</v>
      </c>
      <c r="D28" s="287">
        <v>3</v>
      </c>
      <c r="E28" s="287">
        <v>5</v>
      </c>
      <c r="F28" s="284">
        <f>D28*E28</f>
        <v>15</v>
      </c>
      <c r="G28" s="288">
        <v>10</v>
      </c>
      <c r="H28" s="7"/>
    </row>
    <row r="29" spans="1:8" x14ac:dyDescent="0.25">
      <c r="A29" s="282" t="s">
        <v>254</v>
      </c>
      <c r="B29" s="92" t="s">
        <v>255</v>
      </c>
      <c r="C29" s="92" t="s">
        <v>256</v>
      </c>
      <c r="D29" s="283">
        <v>3</v>
      </c>
      <c r="E29" s="283">
        <v>4</v>
      </c>
      <c r="F29" s="289">
        <f>D29*E29</f>
        <v>12</v>
      </c>
      <c r="G29" s="285">
        <v>8</v>
      </c>
      <c r="H29" s="7"/>
    </row>
    <row r="30" spans="1:8" x14ac:dyDescent="0.25">
      <c r="A30" s="286" t="s">
        <v>257</v>
      </c>
      <c r="B30" s="91" t="s">
        <v>258</v>
      </c>
      <c r="C30" s="91" t="s">
        <v>259</v>
      </c>
      <c r="D30" s="287">
        <v>3</v>
      </c>
      <c r="E30" s="287">
        <v>4</v>
      </c>
      <c r="F30" s="289">
        <f>D30*E30</f>
        <v>12</v>
      </c>
      <c r="G30" s="288">
        <v>8</v>
      </c>
      <c r="H30" s="7"/>
    </row>
    <row r="31" spans="1:8" x14ac:dyDescent="0.25">
      <c r="A31" s="282" t="s">
        <v>260</v>
      </c>
      <c r="B31" s="92" t="s">
        <v>261</v>
      </c>
      <c r="C31" s="92" t="s">
        <v>262</v>
      </c>
      <c r="D31" s="283">
        <v>4</v>
      </c>
      <c r="E31" s="283">
        <v>3</v>
      </c>
      <c r="F31" s="289">
        <f>D31*E31</f>
        <v>12</v>
      </c>
      <c r="G31" s="285">
        <v>9</v>
      </c>
      <c r="H31" s="7"/>
    </row>
    <row r="32" spans="1:8" x14ac:dyDescent="0.25">
      <c r="A32" s="286" t="s">
        <v>263</v>
      </c>
      <c r="B32" s="91" t="s">
        <v>264</v>
      </c>
      <c r="C32" s="91" t="s">
        <v>265</v>
      </c>
      <c r="D32" s="287">
        <v>4</v>
      </c>
      <c r="E32" s="287">
        <v>3</v>
      </c>
      <c r="F32" s="289">
        <f>D32*E32</f>
        <v>12</v>
      </c>
      <c r="G32" s="288">
        <v>9</v>
      </c>
      <c r="H32" s="7"/>
    </row>
    <row r="33" spans="1:8" x14ac:dyDescent="0.25">
      <c r="A33" s="282" t="s">
        <v>266</v>
      </c>
      <c r="B33" s="92" t="s">
        <v>267</v>
      </c>
      <c r="C33" s="92" t="s">
        <v>268</v>
      </c>
      <c r="D33" s="283">
        <v>3</v>
      </c>
      <c r="E33" s="283">
        <v>4</v>
      </c>
      <c r="F33" s="289">
        <f>D33*E33</f>
        <v>12</v>
      </c>
      <c r="G33" s="285">
        <v>8</v>
      </c>
      <c r="H33" s="7"/>
    </row>
    <row r="34" spans="1:8" x14ac:dyDescent="0.25">
      <c r="A34" s="286" t="s">
        <v>269</v>
      </c>
      <c r="B34" s="91" t="s">
        <v>270</v>
      </c>
      <c r="C34" s="91" t="s">
        <v>271</v>
      </c>
      <c r="D34" s="287">
        <v>3</v>
      </c>
      <c r="E34" s="287">
        <v>3</v>
      </c>
      <c r="F34" s="290">
        <f>D34*E34</f>
        <v>9</v>
      </c>
      <c r="G34" s="288">
        <v>6</v>
      </c>
      <c r="H34" s="7"/>
    </row>
    <row r="35" spans="1:8" x14ac:dyDescent="0.25">
      <c r="A35" s="282" t="s">
        <v>272</v>
      </c>
      <c r="B35" s="92" t="s">
        <v>261</v>
      </c>
      <c r="C35" s="92" t="s">
        <v>273</v>
      </c>
      <c r="D35" s="283">
        <v>3</v>
      </c>
      <c r="E35" s="283">
        <v>3</v>
      </c>
      <c r="F35" s="290">
        <f>D35*E35</f>
        <v>9</v>
      </c>
      <c r="G35" s="285">
        <v>6</v>
      </c>
      <c r="H35" s="7"/>
    </row>
    <row r="36" spans="1:8" ht="17.25" thickBot="1" x14ac:dyDescent="0.3">
      <c r="A36" s="291" t="s">
        <v>274</v>
      </c>
      <c r="B36" s="292" t="s">
        <v>275</v>
      </c>
      <c r="C36" s="292" t="s">
        <v>276</v>
      </c>
      <c r="D36" s="293">
        <v>2</v>
      </c>
      <c r="E36" s="293">
        <v>5</v>
      </c>
      <c r="F36" s="294">
        <f>D36*E36</f>
        <v>10</v>
      </c>
      <c r="G36" s="295">
        <v>5</v>
      </c>
      <c r="H3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Cover &amp; Summary</vt:lpstr>
      <vt:lpstr>Assumptions</vt:lpstr>
      <vt:lpstr>Capital Allocation</vt:lpstr>
      <vt:lpstr>Gold Protection</vt:lpstr>
      <vt:lpstr>IMEC Options</vt:lpstr>
      <vt:lpstr>Investor Returns</vt:lpstr>
      <vt:lpstr>Sensitivity &amp; Risk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Herzog</dc:creator>
  <cp:lastModifiedBy>Michael Herzog</cp:lastModifiedBy>
  <dcterms:created xsi:type="dcterms:W3CDTF">2026-02-23T18:30:31Z</dcterms:created>
  <dcterms:modified xsi:type="dcterms:W3CDTF">2026-02-23T18:57:35Z</dcterms:modified>
</cp:coreProperties>
</file>